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2\11 Noviembre\"/>
    </mc:Choice>
  </mc:AlternateContent>
  <xr:revisionPtr revIDLastSave="0" documentId="13_ncr:1_{2A712E4A-F432-4EDF-ACB0-7FFB17FC2B13}" xr6:coauthVersionLast="47" xr6:coauthVersionMax="47" xr10:uidLastSave="{00000000-0000-0000-0000-000000000000}"/>
  <bookViews>
    <workbookView xWindow="-108" yWindow="-108" windowWidth="23256" windowHeight="12576" tabRatio="498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6" l="1"/>
  <c r="I57" i="1" l="1"/>
  <c r="H57" i="1"/>
  <c r="E57" i="1"/>
  <c r="F12" i="1" l="1"/>
  <c r="F13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57" i="1" s="1"/>
  <c r="F42" i="1"/>
  <c r="F41" i="1"/>
  <c r="J42" i="1"/>
  <c r="G43" i="1" l="1"/>
  <c r="U61" i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G12" i="1" l="1"/>
  <c r="G13" i="1"/>
  <c r="D17" i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<sst xmlns="http://schemas.openxmlformats.org/spreadsheetml/2006/main" count="309" uniqueCount="136">
  <si>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</si>
  <si>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</si>
  <si>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</si>
  <si>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</si>
  <si>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</si>
  <si>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</si>
  <si>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</si>
  <si>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</si>
  <si>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</si>
  <si>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</si>
  <si>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</si>
  <si>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</si>
  <si>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</si>
  <si>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</si>
  <si>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</si>
  <si>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</si>
  <si>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</si>
  <si>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</si>
  <si>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</si>
  <si>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</si>
  <si>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</si>
  <si>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</si>
  <si>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</si>
  <si>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</si>
  <si>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</si>
  <si>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</si>
  <si>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</si>
  <si>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</si>
  <si>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</si>
  <si>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</si>
  <si>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</si>
  <si>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</si>
  <si>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</si>
  <si>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</si>
  <si>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</si>
  <si>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</si>
  <si>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</si>
  <si>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</si>
  <si>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</si>
  <si>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</si>
  <si>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</si>
  <si>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</si>
  <si>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</si>
  <si>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</si>
  <si>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</si>
  <si>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</si>
  <si>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</si>
  <si>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</si>
  <si>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</si>
  <si>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</si>
  <si>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</si>
  <si>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</si>
  <si>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</si>
  <si>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</si>
  <si>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</si>
  <si>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</si>
  <si>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</si>
  <si>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</si>
  <si>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</si>
  <si>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</si>
  <si>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</si>
  <si>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</si>
  <si>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</si>
  <si>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</si>
  <si>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</si>
  <si>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</si>
  <si>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</si>
  <si>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</si>
  <si>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</si>
  <si>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</si>
  <si>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</si>
  <si>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</si>
  <si>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</si>
  <si>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</si>
  <si>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</si>
  <si>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</si>
  <si>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</si>
  <si>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</si>
  <si>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</si>
  <si>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</si>
  <si>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</si>
  <si>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</si>
  <si>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</si>
  <si>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</si>
  <si>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</si>
  <si>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</si>
  <si>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</si>
  <si>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</si>
  <si>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</si>
  <si>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</si>
  <si>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</si>
  <si>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</si>
  <si>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</si>
  <si>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</si>
  <si>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</si>
  <si>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</si>
  <si>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</si>
  <si>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</si>
  <si>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</si>
  <si>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</si>
  <si>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</si>
  <si>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</si>
  <si>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</si>
  <si>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</si>
  <si>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</si>
  <si>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</si>
  <si>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</si>
  <si>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</si>
  <si>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</si>
  <si>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</si>
  <si>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</si>
  <si>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</si>
  <si>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</si>
  <si>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</si>
  <si>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</si>
  <si>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</si>
  <si>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</si>
  <si>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</si>
  <si>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</si>
  <si>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</si>
  <si>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</si>
  <si>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</si>
  <si>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</si>
  <si>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</si>
  <si>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</si>
  <si>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dpaz</t>
  </si>
  <si>
    <t>1. RESUMEN NACIONAL AL MES DE OCTUBRE 2022</t>
  </si>
  <si>
    <t>Octubre</t>
  </si>
  <si>
    <t>Enero - Octubre</t>
  </si>
  <si>
    <t>Obtubre</t>
  </si>
  <si>
    <t>Enero - Obtubre</t>
  </si>
  <si>
    <t>Calor de proceso</t>
  </si>
  <si>
    <t>Grafico N° 11: Generación de energía eléctrica por Región, al mes de octubre 2022</t>
  </si>
  <si>
    <t>Cuadro N° 8: Producción de energía eléctrica nacional por zona del país, al mes de octubre</t>
  </si>
  <si>
    <t>3.2 Producción de energía eléctrica (GWh) por origen y zona al mes de octubre 2022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</si>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</sst>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0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113" xfId="0" applyNumberFormat="1" applyFill="1" applyBorder="1"/>
    <xf numFmtId="3" fontId="99" fillId="0" borderId="28" xfId="0" applyNumberFormat="1" applyFont="1" applyBorder="1"/>
    <xf numFmtId="4" fontId="99" fillId="0" borderId="78" xfId="0" applyNumberFormat="1" applyFont="1" applyBorder="1"/>
    <xf numFmtId="4" fontId="99" fillId="0" borderId="107" xfId="0" applyNumberFormat="1" applyFont="1" applyBorder="1"/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178" fontId="96" fillId="68" borderId="32" xfId="33743" applyNumberFormat="1" applyFont="1" applyFill="1" applyBorder="1" applyAlignment="1">
      <alignment horizontal="center"/>
    </xf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96" fillId="0" borderId="32" xfId="33743" applyFont="1" applyBorder="1" applyAlignment="1">
      <alignment horizontal="center"/>
    </xf>
    <xf numFmtId="178" fontId="76" fillId="68" borderId="32" xfId="33743" applyNumberFormat="1" applyFont="1" applyFill="1" applyBorder="1"/>
    <xf numFmtId="167" fontId="0" fillId="68" borderId="27" xfId="0" applyNumberFormat="1" applyFill="1" applyBorder="1" applyAlignment="1">
      <alignment vertical="center"/>
    </xf>
    <xf numFmtId="167" fontId="0" fillId="68" borderId="63" xfId="0" applyNumberFormat="1" applyFill="1" applyBorder="1" applyAlignment="1">
      <alignment vertical="center"/>
    </xf>
    <xf numFmtId="4" fontId="0" fillId="68" borderId="30" xfId="0" applyNumberFormat="1" applyFill="1" applyBorder="1"/>
    <xf numFmtId="4" fontId="0" fillId="68" borderId="60" xfId="0" applyNumberFormat="1" applyFill="1" applyBorder="1"/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9" fontId="96" fillId="68" borderId="34" xfId="33743" applyNumberFormat="1" applyFont="1" applyFill="1" applyBorder="1" applyAlignment="1">
      <alignment horizontal="center"/>
    </xf>
    <xf numFmtId="178" fontId="76" fillId="0" borderId="73" xfId="33743" applyNumberFormat="1" applyFont="1" applyBorder="1"/>
    <xf numFmtId="9" fontId="96" fillId="68" borderId="25" xfId="33743" applyNumberFormat="1" applyFont="1" applyFill="1" applyBorder="1" applyAlignment="1">
      <alignment horizontal="center" vertic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2346.1154840000017</c:v>
                </c:pt>
                <c:pt idx="1">
                  <c:v>2294.7639969801403</c:v>
                </c:pt>
                <c:pt idx="2">
                  <c:v>174.61038799999997</c:v>
                </c:pt>
                <c:pt idx="3">
                  <c:v>80.870885999999999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2030.5725749746819</c:v>
                </c:pt>
                <c:pt idx="1">
                  <c:v>2797.5135018374885</c:v>
                </c:pt>
                <c:pt idx="2">
                  <c:v>188.45571789750002</c:v>
                </c:pt>
                <c:pt idx="3">
                  <c:v>85.328107697499959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631488"/>
        <c:axId val="145659008"/>
      </c:barChart>
      <c:catAx>
        <c:axId val="145631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45659008"/>
        <c:crosses val="autoZero"/>
        <c:auto val="1"/>
        <c:lblAlgn val="ctr"/>
        <c:lblOffset val="100"/>
        <c:noMultiLvlLbl val="0"/>
      </c:catAx>
      <c:valAx>
        <c:axId val="1456590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4563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1642.156445663805</c:v>
                </c:pt>
                <c:pt idx="2" formatCode="_ * #,##0.00_ ;_ * \-#,##0.00_ ;_ * &quot;-&quot;??_ ;_ @_ ">
                  <c:v>6.4619999999999999E-3</c:v>
                </c:pt>
                <c:pt idx="3">
                  <c:v>2478.8392052387048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78.052357794999992</c:v>
                </c:pt>
                <c:pt idx="1">
                  <c:v>299.62610812087155</c:v>
                </c:pt>
                <c:pt idx="2">
                  <c:v>85.344307697499957</c:v>
                </c:pt>
                <c:pt idx="3">
                  <c:v>125.04303071122393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35.385572500000002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4121.0021129025099</c:v>
                </c:pt>
                <c:pt idx="1">
                  <c:v>588.06580432459543</c:v>
                </c:pt>
                <c:pt idx="2">
                  <c:v>357.41641027289478</c:v>
                </c:pt>
                <c:pt idx="3">
                  <c:v>35.385572500000002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42589824"/>
        <c:axId val="942594304"/>
      </c:barChart>
      <c:catAx>
        <c:axId val="9425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42594304"/>
        <c:crosses val="autoZero"/>
        <c:auto val="1"/>
        <c:lblAlgn val="ctr"/>
        <c:lblOffset val="100"/>
        <c:noMultiLvlLbl val="0"/>
      </c:catAx>
      <c:valAx>
        <c:axId val="94259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425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AREQUIPA</c:v>
                </c:pt>
                <c:pt idx="5">
                  <c:v>ANCASH</c:v>
                </c:pt>
                <c:pt idx="6">
                  <c:v>PIURA</c:v>
                </c:pt>
                <c:pt idx="7">
                  <c:v>CUSCO</c:v>
                </c:pt>
                <c:pt idx="8">
                  <c:v>ICA</c:v>
                </c:pt>
                <c:pt idx="9">
                  <c:v>LA LIBERTAD</c:v>
                </c:pt>
                <c:pt idx="10">
                  <c:v>HUANUCO</c:v>
                </c:pt>
                <c:pt idx="11">
                  <c:v>CAJAMARCA</c:v>
                </c:pt>
                <c:pt idx="12">
                  <c:v>MOQUEGUA</c:v>
                </c:pt>
                <c:pt idx="13">
                  <c:v>PUNO</c:v>
                </c:pt>
                <c:pt idx="14">
                  <c:v>PASCO</c:v>
                </c:pt>
                <c:pt idx="15">
                  <c:v>LORETO</c:v>
                </c:pt>
                <c:pt idx="16">
                  <c:v>TACNA</c:v>
                </c:pt>
                <c:pt idx="17">
                  <c:v>UCAYALI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2579.7709426447973</c:v>
                </c:pt>
                <c:pt idx="1">
                  <c:v>704.10387873374259</c:v>
                </c:pt>
                <c:pt idx="2">
                  <c:v>355.6176043560323</c:v>
                </c:pt>
                <c:pt idx="3">
                  <c:v>181.47242617999984</c:v>
                </c:pt>
                <c:pt idx="4">
                  <c:v>178.33938433604484</c:v>
                </c:pt>
                <c:pt idx="5">
                  <c:v>141.11552188955352</c:v>
                </c:pt>
                <c:pt idx="6">
                  <c:v>140.84696976517156</c:v>
                </c:pt>
                <c:pt idx="7">
                  <c:v>139.31925446170081</c:v>
                </c:pt>
                <c:pt idx="8">
                  <c:v>116.60181725992307</c:v>
                </c:pt>
                <c:pt idx="9">
                  <c:v>106.37407675512746</c:v>
                </c:pt>
                <c:pt idx="10">
                  <c:v>98.510347306327915</c:v>
                </c:pt>
                <c:pt idx="11">
                  <c:v>97.174164226915309</c:v>
                </c:pt>
                <c:pt idx="12">
                  <c:v>74.202453150000025</c:v>
                </c:pt>
                <c:pt idx="13">
                  <c:v>62.472221009999984</c:v>
                </c:pt>
                <c:pt idx="14">
                  <c:v>47.858214295389224</c:v>
                </c:pt>
                <c:pt idx="15">
                  <c:v>35.385572500000002</c:v>
                </c:pt>
                <c:pt idx="16">
                  <c:v>13.401410800833334</c:v>
                </c:pt>
                <c:pt idx="17">
                  <c:v>12.553177496666668</c:v>
                </c:pt>
                <c:pt idx="18">
                  <c:v>5.9719519256804476</c:v>
                </c:pt>
                <c:pt idx="19">
                  <c:v>3.9986996000000006</c:v>
                </c:pt>
                <c:pt idx="20">
                  <c:v>2.6667035000000001</c:v>
                </c:pt>
                <c:pt idx="21">
                  <c:v>1.95</c:v>
                </c:pt>
                <c:pt idx="22">
                  <c:v>1.1005480000000001</c:v>
                </c:pt>
                <c:pt idx="23">
                  <c:v>0.87809107526006802</c:v>
                </c:pt>
                <c:pt idx="24">
                  <c:v>0.18446873083333334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942643840"/>
        <c:axId val="942645632"/>
      </c:barChart>
      <c:catAx>
        <c:axId val="9426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942645632"/>
        <c:crosses val="autoZero"/>
        <c:auto val="1"/>
        <c:lblAlgn val="ctr"/>
        <c:lblOffset val="100"/>
        <c:noMultiLvlLbl val="0"/>
      </c:catAx>
      <c:valAx>
        <c:axId val="94264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942643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163.01231298013923</c:v>
                </c:pt>
                <c:pt idx="1">
                  <c:v>134.11422381120272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4733.3484420000041</c:v>
                </c:pt>
                <c:pt idx="1">
                  <c:v>4967.7556785959669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554112"/>
        <c:axId val="152560384"/>
        <c:axId val="273327872"/>
      </c:bar3DChart>
      <c:catAx>
        <c:axId val="1525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2560384"/>
        <c:crosses val="autoZero"/>
        <c:auto val="1"/>
        <c:lblAlgn val="ctr"/>
        <c:lblOffset val="100"/>
        <c:noMultiLvlLbl val="0"/>
      </c:catAx>
      <c:valAx>
        <c:axId val="15256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2554112"/>
        <c:crosses val="autoZero"/>
        <c:crossBetween val="between"/>
      </c:valAx>
      <c:serAx>
        <c:axId val="273327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256038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2182.8222437850022</c:v>
                </c:pt>
                <c:pt idx="1">
                  <c:v>1891.2096907396819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2234.4683089801401</c:v>
                </c:pt>
                <c:pt idx="1">
                  <c:v>2745.0161165768382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163.29324021499968</c:v>
                </c:pt>
                <c:pt idx="1">
                  <c:v>139.36288423499988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315.77696200000003</c:v>
                </c:pt>
                <c:pt idx="1">
                  <c:v>326.28121085565016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1511168"/>
        <c:axId val="226990336"/>
        <c:axId val="0"/>
      </c:bar3DChart>
      <c:catAx>
        <c:axId val="19151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26990336"/>
        <c:crosses val="autoZero"/>
        <c:auto val="1"/>
        <c:lblAlgn val="ctr"/>
        <c:lblOffset val="100"/>
        <c:noMultiLvlLbl val="0"/>
      </c:catAx>
      <c:valAx>
        <c:axId val="22699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1511168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Octubre 2022 </a:t>
            </a:r>
          </a:p>
          <a:p>
            <a:pPr>
              <a:defRPr sz="900"/>
            </a:pPr>
            <a:r>
              <a:rPr lang="en-US" sz="900"/>
              <a:t>Total: 5 102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3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-8.9715374929484684E-3"/>
                  <c:y val="0.128299779401735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59-45F3-B6E1-FF010DFCCF1C}"/>
                </c:ext>
              </c:extLst>
            </c:dLbl>
            <c:dLbl>
              <c:idx val="1"/>
              <c:layout>
                <c:manualLayout>
                  <c:x val="1.6787618242250092E-2"/>
                  <c:y val="-0.15538180496371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59-45F3-B6E1-FF010DFCCF1C}"/>
                </c:ext>
              </c:extLst>
            </c:dLbl>
            <c:dLbl>
              <c:idx val="2"/>
              <c:layout>
                <c:manualLayout>
                  <c:x val="-2.2943955371932125E-3"/>
                  <c:y val="-4.01700613869547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9-45F3-B6E1-FF010DFCCF1C}"/>
                </c:ext>
              </c:extLst>
            </c:dLbl>
            <c:dLbl>
              <c:idx val="3"/>
              <c:layout>
                <c:manualLayout>
                  <c:x val="-6.2451209992193599E-3"/>
                  <c:y val="-4.728132387706855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59-45F3-B6E1-FF010DFCCF1C}"/>
                </c:ext>
              </c:extLst>
            </c:dLbl>
            <c:dLbl>
              <c:idx val="4"/>
              <c:layout>
                <c:manualLayout>
                  <c:x val="-9.3676814988290398E-3"/>
                  <c:y val="7.09219858156028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59-45F3-B6E1-FF010DFCCF1C}"/>
                </c:ext>
              </c:extLst>
            </c:dLbl>
            <c:dLbl>
              <c:idx val="5"/>
              <c:layout>
                <c:manualLayout>
                  <c:x val="-0.25775028458693372"/>
                  <c:y val="-9.6354882148870877E-2"/>
                </c:manualLayout>
              </c:layout>
              <c:tx>
                <c:rich>
                  <a:bodyPr/>
                  <a:lstStyle/>
                  <a:p>
                    <a:pPr>
                      <a:defRPr sz="800" b="1"/>
                    </a:pPr>
                    <a:r>
                      <a:rPr lang="en-US" sz="800" b="1"/>
                      <a:t>Mcdo. Elect.; </a:t>
                    </a:r>
                  </a:p>
                  <a:p>
                    <a:pPr>
                      <a:defRPr sz="800" b="1"/>
                    </a:pPr>
                    <a:r>
                      <a:rPr lang="en-US" sz="800" b="1"/>
                      <a:t>4 837; 97%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459-45F3-B6E1-FF010DFCC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26.444420227749134</c:v>
                </c:pt>
                <c:pt idx="1">
                  <c:v>88.531319892899276</c:v>
                </c:pt>
                <c:pt idx="2">
                  <c:v>2004.1281547469328</c:v>
                </c:pt>
                <c:pt idx="3">
                  <c:v>2708.9821819445892</c:v>
                </c:pt>
                <c:pt idx="4">
                  <c:v>273.783825595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2030.5725749746819</c:v>
                </c:pt>
                <c:pt idx="1">
                  <c:v>2654.9545184875283</c:v>
                </c:pt>
                <c:pt idx="2">
                  <c:v>88.376975524502086</c:v>
                </c:pt>
                <c:pt idx="3">
                  <c:v>52.497385260650162</c:v>
                </c:pt>
                <c:pt idx="4">
                  <c:v>188.45571789750002</c:v>
                </c:pt>
                <c:pt idx="5">
                  <c:v>85.328107697499959</c:v>
                </c:pt>
                <c:pt idx="6">
                  <c:v>1.6846225648072708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0118784"/>
        <c:axId val="940120320"/>
      </c:barChart>
      <c:catAx>
        <c:axId val="94011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40120320"/>
        <c:crosses val="autoZero"/>
        <c:auto val="1"/>
        <c:lblAlgn val="ctr"/>
        <c:lblOffset val="100"/>
        <c:noMultiLvlLbl val="0"/>
      </c:catAx>
      <c:valAx>
        <c:axId val="94012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4011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4580.5837929801437</c:v>
                </c:pt>
                <c:pt idx="1">
                  <c:v>4775.5886915515193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7781500697E-2"/>
                  <c:y val="1.84808501110118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315.77696200000003</c:v>
                </c:pt>
                <c:pt idx="1">
                  <c:v>326.28121085565016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940164992"/>
        <c:axId val="940166528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53148244393401E-2"/>
                  <c:y val="5.5452976910547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4.1335202664565418E-2"/>
                  <c:y val="-5.719688913513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6.4492176496353901E-2</c:v>
                </c:pt>
                <c:pt idx="1">
                  <c:v>6.3953259706152801E-2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174336"/>
        <c:axId val="940172800"/>
      </c:lineChart>
      <c:catAx>
        <c:axId val="9401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40166528"/>
        <c:crosses val="autoZero"/>
        <c:auto val="1"/>
        <c:lblAlgn val="ctr"/>
        <c:lblOffset val="100"/>
        <c:noMultiLvlLbl val="1"/>
      </c:catAx>
      <c:valAx>
        <c:axId val="940166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40164992"/>
        <c:crosses val="autoZero"/>
        <c:crossBetween val="between"/>
        <c:majorUnit val="1000"/>
      </c:valAx>
      <c:valAx>
        <c:axId val="940172800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40174336"/>
        <c:crosses val="max"/>
        <c:crossBetween val="between"/>
      </c:valAx>
      <c:catAx>
        <c:axId val="94017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940172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4.5219125990374726E-2"/>
                  <c:y val="-0.10740094435375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2.0400770227834382E-2"/>
                  <c:y val="0.323573055257170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2346.1154840000017</c:v>
                </c:pt>
                <c:pt idx="1">
                  <c:v>2151.0876450000005</c:v>
                </c:pt>
                <c:pt idx="2">
                  <c:v>81.490463980141612</c:v>
                </c:pt>
                <c:pt idx="3" formatCode="#,##0.00">
                  <c:v>1.8902000000000001</c:v>
                </c:pt>
                <c:pt idx="4">
                  <c:v>60.295688000000041</c:v>
                </c:pt>
                <c:pt idx="5">
                  <c:v>174.61038799999997</c:v>
                </c:pt>
                <c:pt idx="6">
                  <c:v>80.870885999999999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3.3952764182478223E-2"/>
                  <c:y val="-0.10838367701663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4.7784451713007749E-2"/>
                  <c:y val="0.30234888436847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8.5977877041062648E-2"/>
                  <c:y val="-7.183293516674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2030.5725749746819</c:v>
                </c:pt>
                <c:pt idx="1">
                  <c:v>2654.9545184875283</c:v>
                </c:pt>
                <c:pt idx="2">
                  <c:v>88.376975524502086</c:v>
                </c:pt>
                <c:pt idx="3" formatCode="#,##0.00">
                  <c:v>1.6846225648072708</c:v>
                </c:pt>
                <c:pt idx="4">
                  <c:v>52.497385260650162</c:v>
                </c:pt>
                <c:pt idx="5">
                  <c:v>188.45571789750002</c:v>
                </c:pt>
                <c:pt idx="6">
                  <c:v>85.328107697499959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110.40336010250003</c:v>
                </c:pt>
                <c:pt idx="1">
                  <c:v>88.790016215323362</c:v>
                </c:pt>
                <c:pt idx="2">
                  <c:v>0</c:v>
                </c:pt>
                <c:pt idx="3">
                  <c:v>158.2230339550714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409575</xdr:colOff>
      <xdr:row>5</xdr:row>
      <xdr:rowOff>9525</xdr:rowOff>
    </xdr:from>
    <xdr:to>
      <xdr:col>14</xdr:col>
      <xdr:colOff>66674</xdr:colOff>
      <xdr:row>18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octubre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63894" y="95371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3948" y="3313521"/>
          <a:ext cx="4118827" cy="5701542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="110" zoomScaleNormal="100" zoomScaleSheetLayoutView="110" workbookViewId="0">
      <selection activeCell="B1" sqref="B1"/>
    </sheetView>
  </sheetViews>
  <sheetFormatPr baseColWidth="10" defaultColWidth="11.44140625" defaultRowHeight="13.2"/>
  <cols>
    <col min="1" max="1" width="5.33203125" customWidth="1"/>
    <col min="2" max="2" width="2.44140625" customWidth="1"/>
    <col min="3" max="3" width="12.6640625" customWidth="1"/>
    <col min="4" max="4" width="12" customWidth="1"/>
    <col min="5" max="6" width="9.6640625" customWidth="1"/>
    <col min="7" max="7" width="7.33203125" customWidth="1"/>
    <col min="8" max="9" width="11.6640625" customWidth="1"/>
    <col min="10" max="10" width="5.6640625" customWidth="1"/>
    <col min="11" max="11" width="7.5546875" customWidth="1"/>
    <col min="12" max="12" width="11.109375" customWidth="1"/>
    <col min="17" max="17" width="14.5546875" customWidth="1"/>
    <col min="18" max="18" width="12.44140625" customWidth="1"/>
  </cols>
  <sheetData>
    <row r="2" spans="2:19" ht="13.8">
      <c r="B2" s="1" t="s">
        <v>126</v>
      </c>
      <c r="C2" s="2"/>
      <c r="D2" s="1"/>
      <c r="E2" s="1"/>
      <c r="F2" s="1"/>
      <c r="G2" s="1"/>
      <c r="H2" s="1"/>
      <c r="I2" s="1"/>
      <c r="J2" s="1"/>
      <c r="K2" s="1"/>
    </row>
    <row r="3" spans="2:19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19" ht="13.8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19" ht="13.8">
      <c r="B5" s="2"/>
      <c r="C5" s="3"/>
      <c r="D5" s="4"/>
      <c r="E5" s="4"/>
      <c r="F5" s="4"/>
      <c r="G5" s="4"/>
      <c r="H5" s="4"/>
      <c r="I5" s="4"/>
      <c r="J5" s="4"/>
      <c r="K5" s="4"/>
    </row>
    <row r="6" spans="2:19">
      <c r="C6" s="5" t="s">
        <v>113</v>
      </c>
    </row>
    <row r="8" spans="2:19">
      <c r="C8" s="69"/>
      <c r="D8" s="69"/>
      <c r="E8" s="69"/>
      <c r="F8" s="69"/>
      <c r="G8" s="69"/>
    </row>
    <row r="9" spans="2:19" ht="26.4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19" ht="13.8" thickBot="1">
      <c r="C10" s="155" t="s">
        <v>63</v>
      </c>
      <c r="D10" s="156"/>
      <c r="E10" s="157"/>
      <c r="F10" s="158"/>
      <c r="G10" s="159"/>
    </row>
    <row r="11" spans="2:19" ht="13.8" thickTop="1">
      <c r="C11" s="69"/>
      <c r="D11" s="106"/>
      <c r="E11" s="107"/>
      <c r="F11" s="108"/>
      <c r="G11" s="109"/>
      <c r="Q11" s="331" t="s">
        <v>64</v>
      </c>
      <c r="R11" s="41" t="s">
        <v>41</v>
      </c>
      <c r="S11" s="54">
        <f>E12</f>
        <v>26.444420227749134</v>
      </c>
    </row>
    <row r="12" spans="2:19">
      <c r="C12" s="110" t="s">
        <v>66</v>
      </c>
      <c r="D12" s="111">
        <v>2004.1281547469328</v>
      </c>
      <c r="E12" s="112">
        <v>26.444420227749134</v>
      </c>
      <c r="F12" s="113">
        <f>SUM(D12:E12)</f>
        <v>2030.5725749746819</v>
      </c>
      <c r="G12" s="285">
        <f>(F12/F$16)</f>
        <v>0.39800555753423167</v>
      </c>
      <c r="Q12" s="331"/>
      <c r="R12" s="41" t="s">
        <v>73</v>
      </c>
      <c r="S12" s="54">
        <f>E13</f>
        <v>88.531319892899276</v>
      </c>
    </row>
    <row r="13" spans="2:19">
      <c r="C13" s="110" t="s">
        <v>65</v>
      </c>
      <c r="D13" s="111">
        <v>2708.9821819445892</v>
      </c>
      <c r="E13" s="112">
        <v>88.531319892899276</v>
      </c>
      <c r="F13" s="113">
        <f>SUM(D13:E13)</f>
        <v>2797.5135018374885</v>
      </c>
      <c r="G13" s="285">
        <f>(F13/F$16)-0.0035</f>
        <v>0.54483101497111142</v>
      </c>
      <c r="Q13" s="331" t="s">
        <v>88</v>
      </c>
      <c r="R13" s="41" t="s">
        <v>41</v>
      </c>
      <c r="S13" s="54">
        <f>D12</f>
        <v>2004.1281547469328</v>
      </c>
    </row>
    <row r="14" spans="2:19">
      <c r="C14" s="110" t="s">
        <v>67</v>
      </c>
      <c r="D14" s="111">
        <v>188.45571789750002</v>
      </c>
      <c r="E14" s="114"/>
      <c r="F14" s="113">
        <f>SUM(D14:E14)</f>
        <v>188.45571789750002</v>
      </c>
      <c r="G14" s="285">
        <f>(F14/F$16)</f>
        <v>3.6938558117403701E-2</v>
      </c>
      <c r="Q14" s="331"/>
      <c r="R14" s="41" t="s">
        <v>73</v>
      </c>
      <c r="S14" s="54">
        <f>D13</f>
        <v>2708.9821819445892</v>
      </c>
    </row>
    <row r="15" spans="2:19" ht="13.8" thickBot="1">
      <c r="C15" s="115" t="s">
        <v>5</v>
      </c>
      <c r="D15" s="116">
        <v>85.328107697499959</v>
      </c>
      <c r="E15" s="117"/>
      <c r="F15" s="118">
        <f>SUM(D15:E15)</f>
        <v>85.328107697499959</v>
      </c>
      <c r="G15" s="286">
        <f>(F15/F$16)</f>
        <v>1.6724869377253298E-2</v>
      </c>
      <c r="Q15" s="331"/>
      <c r="R15" s="41" t="s">
        <v>87</v>
      </c>
      <c r="S15" s="54">
        <f>SUM(D14:D15)</f>
        <v>273.783825595</v>
      </c>
    </row>
    <row r="16" spans="2:19" ht="13.8" thickTop="1">
      <c r="C16" s="211" t="s">
        <v>71</v>
      </c>
      <c r="D16" s="212">
        <f>SUM(D12:D15)</f>
        <v>4986.8941622865223</v>
      </c>
      <c r="E16" s="213">
        <f>SUM(E12:E15)</f>
        <v>114.97574012064841</v>
      </c>
      <c r="F16" s="214">
        <f>SUM(F12:F15)</f>
        <v>5101.8699024071702</v>
      </c>
      <c r="G16" s="215"/>
    </row>
    <row r="17" spans="3:19">
      <c r="C17" s="216" t="s">
        <v>109</v>
      </c>
      <c r="D17" s="271">
        <f>D16/F16</f>
        <v>0.977464</v>
      </c>
      <c r="E17" s="272">
        <f>E16/F16</f>
        <v>2.2536000000000084E-2</v>
      </c>
      <c r="F17" s="217"/>
      <c r="G17" s="218"/>
    </row>
    <row r="18" spans="3:19">
      <c r="C18" s="69"/>
      <c r="D18" s="69"/>
      <c r="E18" s="69"/>
      <c r="F18" s="69"/>
      <c r="G18" s="69"/>
    </row>
    <row r="20" spans="3:19">
      <c r="C20" s="5" t="s">
        <v>118</v>
      </c>
    </row>
    <row r="21" spans="3:19">
      <c r="C21" s="5"/>
    </row>
    <row r="22" spans="3:19" ht="13.8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38" t="s">
        <v>112</v>
      </c>
      <c r="D23" s="339"/>
      <c r="E23" s="332" t="s">
        <v>127</v>
      </c>
      <c r="F23" s="333"/>
      <c r="G23" s="122" t="s">
        <v>74</v>
      </c>
      <c r="H23" s="336" t="s">
        <v>128</v>
      </c>
      <c r="I23" s="337"/>
      <c r="J23" s="122" t="s">
        <v>74</v>
      </c>
      <c r="Q23" s="41"/>
      <c r="R23" s="41">
        <v>2021</v>
      </c>
      <c r="S23" s="41">
        <v>2022</v>
      </c>
    </row>
    <row r="24" spans="3:19" ht="12.75" customHeight="1">
      <c r="C24" s="123"/>
      <c r="D24" s="124"/>
      <c r="E24" s="125">
        <v>2021</v>
      </c>
      <c r="F24" s="126">
        <v>2022</v>
      </c>
      <c r="G24" s="127"/>
      <c r="H24" s="201">
        <v>2021</v>
      </c>
      <c r="I24" s="126">
        <v>2022</v>
      </c>
      <c r="J24" s="127"/>
      <c r="Q24" s="41" t="s">
        <v>76</v>
      </c>
      <c r="R24" s="54">
        <f>E29</f>
        <v>163.01231298013923</v>
      </c>
      <c r="S24" s="54">
        <f>F29</f>
        <v>134.11422381120272</v>
      </c>
    </row>
    <row r="25" spans="3:19">
      <c r="C25" s="327" t="s">
        <v>0</v>
      </c>
      <c r="D25" s="328"/>
      <c r="E25" s="160">
        <f>SUM(E26:E28)</f>
        <v>4733.3484420000041</v>
      </c>
      <c r="F25" s="161">
        <f>SUM(F26:F28)</f>
        <v>4967.7556785959669</v>
      </c>
      <c r="G25" s="162">
        <f>((F25/E25)-1)</f>
        <v>4.9522497544448152E-2</v>
      </c>
      <c r="H25" s="202">
        <f>SUM(H26:H28)</f>
        <v>46068.000500000002</v>
      </c>
      <c r="I25" s="161">
        <f>SUM(I26:I28)</f>
        <v>47570.827247552465</v>
      </c>
      <c r="J25" s="162">
        <f>((I25/H25)-1)</f>
        <v>3.2621922619638477E-2</v>
      </c>
      <c r="Q25" s="41" t="s">
        <v>0</v>
      </c>
      <c r="R25" s="54">
        <f>E25</f>
        <v>4733.3484420000041</v>
      </c>
      <c r="S25" s="54">
        <f>F25</f>
        <v>4967.7556785959669</v>
      </c>
    </row>
    <row r="26" spans="3:19">
      <c r="C26" s="229" t="s">
        <v>62</v>
      </c>
      <c r="D26" s="238" t="s">
        <v>102</v>
      </c>
      <c r="E26" s="113">
        <v>4619.1632450000043</v>
      </c>
      <c r="F26" s="129">
        <v>4847.2611257424987</v>
      </c>
      <c r="G26" s="130">
        <f t="shared" ref="G26:G32" si="0">((F26/E26)-1)</f>
        <v>4.9380779297938382E-2</v>
      </c>
      <c r="H26" s="203">
        <v>44798.240433999999</v>
      </c>
      <c r="I26" s="129">
        <v>46239.172816884995</v>
      </c>
      <c r="J26" s="130">
        <f t="shared" ref="J26:J32" si="1">((I26/H26)-1)</f>
        <v>3.216493257157893E-2</v>
      </c>
    </row>
    <row r="27" spans="3:19">
      <c r="C27" s="230" t="s">
        <v>106</v>
      </c>
      <c r="D27" s="239" t="s">
        <v>77</v>
      </c>
      <c r="E27" s="232">
        <v>80.443031000000005</v>
      </c>
      <c r="F27" s="233">
        <v>98.840635480763254</v>
      </c>
      <c r="G27" s="241">
        <f t="shared" si="0"/>
        <v>0.22870352163586727</v>
      </c>
      <c r="H27" s="234">
        <v>862.53445399999998</v>
      </c>
      <c r="I27" s="233">
        <v>1087.5583545914999</v>
      </c>
      <c r="J27" s="241">
        <f t="shared" si="1"/>
        <v>0.26088685448790194</v>
      </c>
    </row>
    <row r="28" spans="3:19">
      <c r="C28" s="231" t="s">
        <v>64</v>
      </c>
      <c r="D28" s="240" t="s">
        <v>77</v>
      </c>
      <c r="E28" s="113">
        <v>33.742165999999997</v>
      </c>
      <c r="F28" s="129">
        <v>21.653917372705504</v>
      </c>
      <c r="G28" s="130">
        <f t="shared" si="0"/>
        <v>-0.35825348696626336</v>
      </c>
      <c r="H28" s="203">
        <v>407.22561199999996</v>
      </c>
      <c r="I28" s="129">
        <v>244.09607607596877</v>
      </c>
      <c r="J28" s="130">
        <f t="shared" si="1"/>
        <v>-0.40058761314853453</v>
      </c>
    </row>
    <row r="29" spans="3:19">
      <c r="C29" s="327" t="s">
        <v>76</v>
      </c>
      <c r="D29" s="328"/>
      <c r="E29" s="160">
        <f>SUM(E30:E31)</f>
        <v>163.01231298013923</v>
      </c>
      <c r="F29" s="161">
        <f>SUM(F30:F31)</f>
        <v>134.11422381120272</v>
      </c>
      <c r="G29" s="162">
        <f t="shared" si="0"/>
        <v>-0.17727549925911013</v>
      </c>
      <c r="H29" s="202">
        <f>SUM(H30:H31)</f>
        <v>1524.4991128013926</v>
      </c>
      <c r="I29" s="161">
        <f>SUM(I30:I31)</f>
        <v>1509.0139492742055</v>
      </c>
      <c r="J29" s="162">
        <f t="shared" si="1"/>
        <v>-1.015754184253459E-2</v>
      </c>
      <c r="Q29" s="41"/>
      <c r="R29" s="41"/>
      <c r="S29" s="41"/>
    </row>
    <row r="30" spans="3:19">
      <c r="C30" s="235" t="s">
        <v>68</v>
      </c>
      <c r="D30" s="124"/>
      <c r="E30" s="113">
        <v>43.794627000000006</v>
      </c>
      <c r="F30" s="129">
        <v>40.792401063259824</v>
      </c>
      <c r="G30" s="130">
        <f t="shared" si="0"/>
        <v>-6.8552380563491999E-2</v>
      </c>
      <c r="H30" s="203">
        <v>400.73635999999999</v>
      </c>
      <c r="I30" s="129">
        <v>411.54135184006122</v>
      </c>
      <c r="J30" s="130">
        <f t="shared" si="1"/>
        <v>2.6962843701183514E-2</v>
      </c>
    </row>
    <row r="31" spans="3:19" ht="13.8" thickBot="1">
      <c r="C31" s="236" t="s">
        <v>64</v>
      </c>
      <c r="D31" s="237"/>
      <c r="E31" s="118">
        <v>119.21768598013922</v>
      </c>
      <c r="F31" s="132">
        <v>93.321822747942903</v>
      </c>
      <c r="G31" s="133">
        <f t="shared" si="0"/>
        <v>-0.21721494608199643</v>
      </c>
      <c r="H31" s="204">
        <v>1123.7627528013925</v>
      </c>
      <c r="I31" s="132">
        <v>1097.4725974341443</v>
      </c>
      <c r="J31" s="357">
        <f t="shared" si="1"/>
        <v>-2.3394755967583225E-2</v>
      </c>
    </row>
    <row r="32" spans="3:19" ht="14.4" thickTop="1" thickBot="1">
      <c r="C32" s="322" t="s">
        <v>108</v>
      </c>
      <c r="D32" s="323"/>
      <c r="E32" s="163">
        <f>SUM(E25,E29)</f>
        <v>4896.3607549801436</v>
      </c>
      <c r="F32" s="164">
        <f>SUM(F25,F29)</f>
        <v>5101.8699024071693</v>
      </c>
      <c r="G32" s="165">
        <f t="shared" si="0"/>
        <v>4.197181492764801E-2</v>
      </c>
      <c r="H32" s="205">
        <f>SUM(H25,H29)</f>
        <v>47592.499612801395</v>
      </c>
      <c r="I32" s="164">
        <f>SUM(I25,I29)</f>
        <v>49079.841196826674</v>
      </c>
      <c r="J32" s="165">
        <f t="shared" si="1"/>
        <v>3.1251596283571104E-2</v>
      </c>
    </row>
    <row r="33" spans="3:19">
      <c r="C33" s="266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73"/>
    </row>
    <row r="35" spans="3:19">
      <c r="C35" s="5" t="s">
        <v>120</v>
      </c>
    </row>
    <row r="36" spans="3:19">
      <c r="C36" s="5"/>
    </row>
    <row r="37" spans="3:19" ht="13.8" thickBot="1">
      <c r="C37" s="5"/>
    </row>
    <row r="38" spans="3:19" ht="12.75" customHeight="1">
      <c r="C38" s="120"/>
      <c r="D38" s="121"/>
      <c r="E38" s="332" t="s">
        <v>129</v>
      </c>
      <c r="F38" s="333"/>
      <c r="G38" s="334" t="s">
        <v>74</v>
      </c>
      <c r="H38" s="336" t="s">
        <v>130</v>
      </c>
      <c r="I38" s="337"/>
      <c r="J38" s="334" t="s">
        <v>74</v>
      </c>
      <c r="Q38" s="41"/>
      <c r="R38" s="41">
        <v>2021</v>
      </c>
      <c r="S38" s="41">
        <v>2022</v>
      </c>
    </row>
    <row r="39" spans="3:19" ht="12.75" customHeight="1">
      <c r="C39" s="123" t="s">
        <v>75</v>
      </c>
      <c r="D39" s="124"/>
      <c r="E39" s="125">
        <v>2021</v>
      </c>
      <c r="F39" s="126">
        <v>2022</v>
      </c>
      <c r="G39" s="335"/>
      <c r="H39" s="201">
        <v>2021</v>
      </c>
      <c r="I39" s="126">
        <v>2022</v>
      </c>
      <c r="J39" s="335"/>
      <c r="Q39" s="41" t="s">
        <v>66</v>
      </c>
      <c r="R39" s="54">
        <f>SUM(E41,E46)</f>
        <v>2346.1154840000017</v>
      </c>
      <c r="S39" s="54">
        <f>SUM(F41,F46)</f>
        <v>2030.5725749746819</v>
      </c>
    </row>
    <row r="40" spans="3:19">
      <c r="C40" s="327" t="s">
        <v>68</v>
      </c>
      <c r="D40" s="328"/>
      <c r="E40" s="160">
        <f>SUM(E41:E44)</f>
        <v>4743.4009030000025</v>
      </c>
      <c r="F40" s="161">
        <f>SUM(F41:F44)</f>
        <v>4986.8941622865223</v>
      </c>
      <c r="G40" s="162">
        <f>((F40/E40)-1)</f>
        <v>5.1333054967485525E-2</v>
      </c>
      <c r="H40" s="202">
        <f>SUM(H41:H44)</f>
        <v>46061.511247999995</v>
      </c>
      <c r="I40" s="161">
        <f>SUM(I41:I44)</f>
        <v>47738.272523316555</v>
      </c>
      <c r="J40" s="162">
        <f>((I40/H40)-1)</f>
        <v>3.6402654404643853E-2</v>
      </c>
      <c r="Q40" s="41" t="s">
        <v>65</v>
      </c>
      <c r="R40" s="54">
        <f>SUM(E42,E47)</f>
        <v>2294.7639969801403</v>
      </c>
      <c r="S40" s="54">
        <f>SUM(F42,F47)</f>
        <v>2797.5135018374885</v>
      </c>
    </row>
    <row r="41" spans="3:19">
      <c r="C41" s="128" t="s">
        <v>66</v>
      </c>
      <c r="D41" s="69"/>
      <c r="E41" s="113">
        <v>2299.8285330000017</v>
      </c>
      <c r="F41" s="129">
        <f>D12</f>
        <v>2004.1281547469328</v>
      </c>
      <c r="G41" s="130">
        <f t="shared" ref="G41:G48" si="2">((F41/E41)-1)</f>
        <v>-0.12857496722477124</v>
      </c>
      <c r="H41" s="203">
        <v>25848.749659999998</v>
      </c>
      <c r="I41" s="129">
        <v>25229.906581853109</v>
      </c>
      <c r="J41" s="130">
        <f t="shared" ref="J41:J48" si="3">((I41/H41)-1)</f>
        <v>-2.3940928914814252E-2</v>
      </c>
      <c r="Q41" s="41" t="s">
        <v>67</v>
      </c>
      <c r="R41" s="54">
        <f>E43</f>
        <v>174.61038799999997</v>
      </c>
      <c r="S41" s="54">
        <f>F43</f>
        <v>188.45571789750002</v>
      </c>
    </row>
    <row r="42" spans="3:19">
      <c r="C42" s="128" t="s">
        <v>65</v>
      </c>
      <c r="D42" s="69"/>
      <c r="E42" s="113">
        <v>2188.091096000001</v>
      </c>
      <c r="F42" s="129">
        <f>D13</f>
        <v>2708.9821819445892</v>
      </c>
      <c r="G42" s="130">
        <f t="shared" si="2"/>
        <v>0.23805731255742368</v>
      </c>
      <c r="H42" s="203">
        <v>18042.686708999998</v>
      </c>
      <c r="I42" s="129">
        <v>20178.130419593454</v>
      </c>
      <c r="J42" s="130">
        <f t="shared" si="3"/>
        <v>0.11835508453008048</v>
      </c>
      <c r="Q42" s="41" t="s">
        <v>5</v>
      </c>
      <c r="R42" s="54">
        <f>E44</f>
        <v>80.870885999999999</v>
      </c>
      <c r="S42" s="54">
        <f>F44</f>
        <v>85.328107697499959</v>
      </c>
    </row>
    <row r="43" spans="3:19">
      <c r="C43" s="128" t="s">
        <v>67</v>
      </c>
      <c r="D43" s="69"/>
      <c r="E43" s="113">
        <v>174.61038799999997</v>
      </c>
      <c r="F43" s="129">
        <f>D14</f>
        <v>188.45571789750002</v>
      </c>
      <c r="G43" s="130">
        <f t="shared" si="2"/>
        <v>7.929270449533643E-2</v>
      </c>
      <c r="H43" s="203">
        <v>1518.3845729999998</v>
      </c>
      <c r="I43" s="129">
        <v>1663.4727602550001</v>
      </c>
      <c r="J43" s="130">
        <f t="shared" si="3"/>
        <v>9.5554308068566129E-2</v>
      </c>
    </row>
    <row r="44" spans="3:19">
      <c r="C44" s="128" t="s">
        <v>5</v>
      </c>
      <c r="D44" s="69"/>
      <c r="E44" s="113">
        <v>80.870885999999999</v>
      </c>
      <c r="F44" s="129">
        <f>D15</f>
        <v>85.328107697499959</v>
      </c>
      <c r="G44" s="316">
        <f t="shared" si="2"/>
        <v>5.5115282123902487E-2</v>
      </c>
      <c r="H44" s="203">
        <v>651.69030600000008</v>
      </c>
      <c r="I44" s="129">
        <v>666.76276161499993</v>
      </c>
      <c r="J44" s="130">
        <f t="shared" si="3"/>
        <v>2.3128248918589556E-2</v>
      </c>
      <c r="Q44" s="41"/>
      <c r="R44" s="41"/>
      <c r="S44" s="41"/>
    </row>
    <row r="45" spans="3:19">
      <c r="C45" s="327" t="s">
        <v>64</v>
      </c>
      <c r="D45" s="328"/>
      <c r="E45" s="160">
        <f>SUM(E46:E47)</f>
        <v>152.95985198013921</v>
      </c>
      <c r="F45" s="161">
        <f>SUM(F46:F47)</f>
        <v>114.97574012064841</v>
      </c>
      <c r="G45" s="162">
        <f t="shared" si="2"/>
        <v>-0.24832733143872798</v>
      </c>
      <c r="H45" s="202">
        <f>SUM(H46:H47)</f>
        <v>1530.9883648013924</v>
      </c>
      <c r="I45" s="161">
        <f>SUM(I46:I47)</f>
        <v>1341.5686735101131</v>
      </c>
      <c r="J45" s="162">
        <f t="shared" si="3"/>
        <v>-0.12372379545539647</v>
      </c>
    </row>
    <row r="46" spans="3:19">
      <c r="C46" s="128" t="s">
        <v>66</v>
      </c>
      <c r="D46" s="69"/>
      <c r="E46" s="113">
        <v>46.286950999999995</v>
      </c>
      <c r="F46" s="129">
        <f>E12</f>
        <v>26.444420227749134</v>
      </c>
      <c r="G46" s="130">
        <f t="shared" si="2"/>
        <v>-0.42868519838886909</v>
      </c>
      <c r="H46" s="203">
        <v>526.29424599999993</v>
      </c>
      <c r="I46" s="129">
        <v>353.84438765713702</v>
      </c>
      <c r="J46" s="130">
        <f t="shared" si="3"/>
        <v>-0.32766814316047632</v>
      </c>
    </row>
    <row r="47" spans="3:19" ht="13.8" thickBot="1">
      <c r="C47" s="131" t="s">
        <v>65</v>
      </c>
      <c r="D47" s="69"/>
      <c r="E47" s="118">
        <v>106.6729009801392</v>
      </c>
      <c r="F47" s="132">
        <f>E13</f>
        <v>88.531319892899276</v>
      </c>
      <c r="G47" s="133">
        <f t="shared" si="2"/>
        <v>-0.17006738281747491</v>
      </c>
      <c r="H47" s="204">
        <v>1004.6941188013926</v>
      </c>
      <c r="I47" s="132">
        <v>987.72428585297598</v>
      </c>
      <c r="J47" s="133">
        <f t="shared" si="3"/>
        <v>-1.6890546715513599E-2</v>
      </c>
    </row>
    <row r="48" spans="3:19" ht="14.4" thickTop="1" thickBot="1">
      <c r="C48" s="322" t="s">
        <v>108</v>
      </c>
      <c r="D48" s="323"/>
      <c r="E48" s="163">
        <f>SUM(E40,E45)</f>
        <v>4896.3607549801418</v>
      </c>
      <c r="F48" s="164">
        <f>SUM(F40,F45)</f>
        <v>5101.8699024071702</v>
      </c>
      <c r="G48" s="165">
        <f t="shared" si="2"/>
        <v>4.1971814927648676E-2</v>
      </c>
      <c r="H48" s="205">
        <f>SUM(H40,H45)</f>
        <v>47592.499612801388</v>
      </c>
      <c r="I48" s="164">
        <f>SUM(I40,I45)</f>
        <v>49079.841196826666</v>
      </c>
      <c r="J48" s="165">
        <f t="shared" si="3"/>
        <v>3.1251596283571104E-2</v>
      </c>
    </row>
    <row r="49" spans="3:23">
      <c r="C49" s="227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119</v>
      </c>
    </row>
    <row r="52" spans="3:23">
      <c r="C52" s="5"/>
      <c r="M52" s="36"/>
    </row>
    <row r="53" spans="3:23" ht="13.8" thickBot="1">
      <c r="C53" s="5"/>
      <c r="L53" s="36"/>
      <c r="M53" s="36"/>
    </row>
    <row r="54" spans="3:23" ht="12.75" customHeight="1">
      <c r="C54" s="120"/>
      <c r="D54" s="121"/>
      <c r="E54" s="332" t="s">
        <v>127</v>
      </c>
      <c r="F54" s="333"/>
      <c r="G54" s="334" t="s">
        <v>74</v>
      </c>
      <c r="H54" s="336" t="s">
        <v>128</v>
      </c>
      <c r="I54" s="337"/>
      <c r="J54" s="334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2021</v>
      </c>
      <c r="F55" s="126">
        <v>2022</v>
      </c>
      <c r="G55" s="335"/>
      <c r="H55" s="201">
        <v>2021</v>
      </c>
      <c r="I55" s="126">
        <v>2022</v>
      </c>
      <c r="J55" s="335"/>
      <c r="L55" s="36"/>
      <c r="M55" s="36"/>
    </row>
    <row r="56" spans="3:23">
      <c r="C56" s="327" t="s">
        <v>68</v>
      </c>
      <c r="D56" s="328"/>
      <c r="E56" s="160">
        <f>SUM(E57:E60)</f>
        <v>4743.4009030000034</v>
      </c>
      <c r="F56" s="161">
        <f>SUM(F57:F60)</f>
        <v>4986.8941622865223</v>
      </c>
      <c r="G56" s="162">
        <f>((F56/E56)-1)</f>
        <v>5.1333054967485303E-2</v>
      </c>
      <c r="H56" s="202">
        <f>SUM(H57:H60)</f>
        <v>46061.511247999995</v>
      </c>
      <c r="I56" s="161">
        <f>SUM(I57:I60)</f>
        <v>47738.272523316562</v>
      </c>
      <c r="J56" s="162">
        <f>((I56/H56)-1)</f>
        <v>3.6402654404644075E-2</v>
      </c>
    </row>
    <row r="57" spans="3:23" ht="26.4">
      <c r="C57" s="325" t="s">
        <v>78</v>
      </c>
      <c r="D57" s="242" t="s">
        <v>79</v>
      </c>
      <c r="E57" s="276">
        <f>SUM(E43:E44)+37.53192</f>
        <v>293.013194</v>
      </c>
      <c r="F57" s="277">
        <f>SUM(F43:F44)+37.0929355992857</f>
        <v>310.87676119428568</v>
      </c>
      <c r="G57" s="140">
        <f t="shared" ref="G57:G65" si="4">((F57/E57)-1)</f>
        <v>6.0965060823457984E-2</v>
      </c>
      <c r="H57" s="219">
        <f>SUM(H43:H44)+292.973839</f>
        <v>2463.048718</v>
      </c>
      <c r="I57" s="277">
        <f>SUM(I43:I44)+288.514884844286</f>
        <v>2618.7504067142859</v>
      </c>
      <c r="J57" s="140">
        <f t="shared" ref="J57:J65" si="5">((I57/H57)-1)</f>
        <v>6.321502598645945E-2</v>
      </c>
      <c r="L57" s="36"/>
      <c r="Q57" s="41"/>
      <c r="R57" s="41"/>
      <c r="T57" s="41">
        <v>2021</v>
      </c>
      <c r="U57" s="41">
        <v>2022</v>
      </c>
      <c r="V57" s="41"/>
      <c r="W57" s="41"/>
    </row>
    <row r="58" spans="3:23" ht="13.8">
      <c r="C58" s="326"/>
      <c r="D58" s="243" t="s">
        <v>110</v>
      </c>
      <c r="E58" s="232">
        <v>163.29324021499968</v>
      </c>
      <c r="F58" s="280">
        <v>139.36288423499988</v>
      </c>
      <c r="G58" s="241">
        <f t="shared" si="4"/>
        <v>-0.14654835649345899</v>
      </c>
      <c r="H58" s="234">
        <v>1884.7498693774992</v>
      </c>
      <c r="I58" s="233">
        <v>1747.0555705825002</v>
      </c>
      <c r="J58" s="241">
        <f t="shared" si="5"/>
        <v>-7.305706769486453E-2</v>
      </c>
      <c r="L58" s="36"/>
      <c r="M58" s="36"/>
      <c r="Q58" s="331" t="s">
        <v>80</v>
      </c>
      <c r="R58" s="41" t="s">
        <v>66</v>
      </c>
      <c r="T58" s="54">
        <f>SUM(E60,E64)</f>
        <v>2182.8222437850022</v>
      </c>
      <c r="U58" s="54">
        <f>SUM(F60,F64)</f>
        <v>1891.2096907396819</v>
      </c>
      <c r="V58" s="119">
        <f t="shared" ref="V58:W61" si="6">T58/T$64</f>
        <v>0.44580502806392075</v>
      </c>
      <c r="W58" s="119">
        <f t="shared" si="6"/>
        <v>0.37068951716063342</v>
      </c>
    </row>
    <row r="59" spans="3:23">
      <c r="C59" s="324" t="s">
        <v>80</v>
      </c>
      <c r="D59" s="244" t="s">
        <v>81</v>
      </c>
      <c r="E59" s="113">
        <f>SUM(E42:E44)-E57</f>
        <v>2150.5591760000011</v>
      </c>
      <c r="F59" s="129">
        <f>SUM(F42:F44)-F57</f>
        <v>2671.8892463453035</v>
      </c>
      <c r="G59" s="130">
        <f t="shared" si="4"/>
        <v>0.24241605446773451</v>
      </c>
      <c r="H59" s="203">
        <f>SUM(H42:H44)-H57</f>
        <v>17749.712869999996</v>
      </c>
      <c r="I59" s="129">
        <f>SUM(I42:I44)-I57</f>
        <v>19889.615534749166</v>
      </c>
      <c r="J59" s="130">
        <f t="shared" si="5"/>
        <v>0.12055984682242182</v>
      </c>
      <c r="Q59" s="331"/>
      <c r="R59" s="41" t="s">
        <v>65</v>
      </c>
      <c r="T59" s="54">
        <f>SUM(E59,E63)</f>
        <v>2234.4683089801401</v>
      </c>
      <c r="U59" s="54">
        <f>SUM(F59,F63)</f>
        <v>2745.0161165768382</v>
      </c>
      <c r="V59" s="119">
        <f t="shared" si="6"/>
        <v>0.45635287528751595</v>
      </c>
      <c r="W59" s="119">
        <f t="shared" si="6"/>
        <v>0.53804118275961554</v>
      </c>
    </row>
    <row r="60" spans="3:23">
      <c r="C60" s="324"/>
      <c r="D60" s="245" t="s">
        <v>41</v>
      </c>
      <c r="E60" s="113">
        <f>E41-E58</f>
        <v>2136.5352927850022</v>
      </c>
      <c r="F60" s="129">
        <f>F41-F58</f>
        <v>1864.7652705119328</v>
      </c>
      <c r="G60" s="130">
        <f t="shared" si="4"/>
        <v>-0.1272012791882382</v>
      </c>
      <c r="H60" s="203">
        <f>H41-H58</f>
        <v>23963.9997906225</v>
      </c>
      <c r="I60" s="129">
        <f>I41-I58</f>
        <v>23482.85101127061</v>
      </c>
      <c r="J60" s="130">
        <f t="shared" si="5"/>
        <v>-2.0077982955924223E-2</v>
      </c>
      <c r="Q60" s="331" t="s">
        <v>78</v>
      </c>
      <c r="R60" s="41" t="s">
        <v>66</v>
      </c>
      <c r="T60" s="54">
        <f>E58</f>
        <v>163.29324021499968</v>
      </c>
      <c r="U60" s="54">
        <f>F58</f>
        <v>139.36288423499988</v>
      </c>
      <c r="V60" s="119">
        <f t="shared" si="6"/>
        <v>3.3349920152209445E-2</v>
      </c>
      <c r="W60" s="119">
        <f t="shared" si="6"/>
        <v>2.7316040373598222E-2</v>
      </c>
    </row>
    <row r="61" spans="3:23">
      <c r="C61" s="327" t="s">
        <v>64</v>
      </c>
      <c r="D61" s="328"/>
      <c r="E61" s="160">
        <f>SUM(E62:E64)</f>
        <v>152.95985198013921</v>
      </c>
      <c r="F61" s="161">
        <f>SUM(F62:F64)</f>
        <v>114.97574012064842</v>
      </c>
      <c r="G61" s="162">
        <f t="shared" si="4"/>
        <v>-0.24832733143872787</v>
      </c>
      <c r="H61" s="202">
        <f>SUM(H62:H64)</f>
        <v>1530.9883648013924</v>
      </c>
      <c r="I61" s="161">
        <f>SUM(I62:I64)</f>
        <v>1341.5686735101131</v>
      </c>
      <c r="J61" s="162">
        <f t="shared" si="5"/>
        <v>-0.12372379545539647</v>
      </c>
      <c r="Q61" s="331"/>
      <c r="R61" s="41" t="s">
        <v>89</v>
      </c>
      <c r="T61" s="54">
        <f>E57+E62</f>
        <v>315.77696200000003</v>
      </c>
      <c r="U61" s="54">
        <f>F57+F62</f>
        <v>326.28121085565016</v>
      </c>
      <c r="V61" s="119">
        <f t="shared" si="6"/>
        <v>6.4492176496353915E-2</v>
      </c>
      <c r="W61" s="119">
        <f t="shared" si="6"/>
        <v>6.3953259706152787E-2</v>
      </c>
    </row>
    <row r="62" spans="3:23">
      <c r="C62" s="267" t="s">
        <v>78</v>
      </c>
      <c r="D62" s="268" t="s">
        <v>114</v>
      </c>
      <c r="E62" s="307">
        <v>22.763767999999999</v>
      </c>
      <c r="F62" s="278">
        <v>15.404449661364474</v>
      </c>
      <c r="G62" s="269">
        <f t="shared" si="4"/>
        <v>-0.32329086900883564</v>
      </c>
      <c r="H62" s="279">
        <v>164.72274200000001</v>
      </c>
      <c r="I62" s="278">
        <v>150.33070599738218</v>
      </c>
      <c r="J62" s="269">
        <f t="shared" si="5"/>
        <v>-8.7371275076381538E-2</v>
      </c>
      <c r="Q62" s="41"/>
      <c r="R62" s="41"/>
      <c r="T62" s="41"/>
      <c r="U62" s="41"/>
      <c r="V62" s="41"/>
      <c r="W62" s="41"/>
    </row>
    <row r="63" spans="3:23">
      <c r="C63" s="329" t="s">
        <v>80</v>
      </c>
      <c r="D63" s="244" t="s">
        <v>81</v>
      </c>
      <c r="E63" s="113">
        <f>E47-E62</f>
        <v>83.909132980139205</v>
      </c>
      <c r="F63" s="129">
        <f>F47-F62</f>
        <v>73.126870231534809</v>
      </c>
      <c r="G63" s="130">
        <f>((F63/E63)-1)</f>
        <v>-0.12849927493776503</v>
      </c>
      <c r="H63" s="203">
        <f>H47-H62</f>
        <v>839.97137680139258</v>
      </c>
      <c r="I63" s="129">
        <f>I47-I62</f>
        <v>837.39357985559377</v>
      </c>
      <c r="J63" s="313">
        <f>((I63/H63)-1)</f>
        <v>-3.0689104617053209E-3</v>
      </c>
      <c r="Q63" s="41"/>
      <c r="R63" s="41"/>
      <c r="T63" s="41"/>
      <c r="U63" s="41"/>
      <c r="V63" s="41"/>
      <c r="W63" s="41"/>
    </row>
    <row r="64" spans="3:23" ht="13.8" thickBot="1">
      <c r="C64" s="330"/>
      <c r="D64" s="246" t="s">
        <v>41</v>
      </c>
      <c r="E64" s="118">
        <f>E46</f>
        <v>46.286950999999995</v>
      </c>
      <c r="F64" s="132">
        <f>F46</f>
        <v>26.444420227749134</v>
      </c>
      <c r="G64" s="133">
        <f t="shared" si="4"/>
        <v>-0.42868519838886909</v>
      </c>
      <c r="H64" s="204">
        <f>H46</f>
        <v>526.29424599999993</v>
      </c>
      <c r="I64" s="132">
        <f>I46</f>
        <v>353.84438765713702</v>
      </c>
      <c r="J64" s="133">
        <f t="shared" si="5"/>
        <v>-0.32766814316047632</v>
      </c>
      <c r="Q64" s="41"/>
      <c r="R64" s="41"/>
      <c r="T64" s="54">
        <f>SUM(T58:T61)</f>
        <v>4896.3607549801418</v>
      </c>
      <c r="U64" s="54">
        <f>SUM(U58:U61)</f>
        <v>5101.8699024071702</v>
      </c>
      <c r="V64" s="41"/>
      <c r="W64" s="41"/>
    </row>
    <row r="65" spans="3:22" ht="14.4" thickTop="1" thickBot="1">
      <c r="C65" s="322" t="s">
        <v>108</v>
      </c>
      <c r="D65" s="323"/>
      <c r="E65" s="163">
        <f>SUM(E56,E61)</f>
        <v>4896.3607549801427</v>
      </c>
      <c r="F65" s="164">
        <f>SUM(F56,F61)</f>
        <v>5101.8699024071702</v>
      </c>
      <c r="G65" s="165">
        <f t="shared" si="4"/>
        <v>4.1971814927648454E-2</v>
      </c>
      <c r="H65" s="205">
        <f>SUM(H56,H61)</f>
        <v>47592.499612801388</v>
      </c>
      <c r="I65" s="164">
        <f>SUM(I56,I61)</f>
        <v>49079.841196826674</v>
      </c>
      <c r="J65" s="165">
        <f t="shared" si="5"/>
        <v>3.1251596283571104E-2</v>
      </c>
      <c r="Q65" s="41"/>
      <c r="R65" s="41"/>
      <c r="S65" s="41"/>
      <c r="T65" s="41"/>
      <c r="U65" s="41"/>
      <c r="V65" s="41"/>
    </row>
    <row r="66" spans="3:22">
      <c r="C66" s="227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81"/>
  <sheetViews>
    <sheetView view="pageBreakPreview" zoomScale="120" zoomScaleNormal="100" zoomScaleSheetLayoutView="120" workbookViewId="0">
      <selection activeCell="B1" sqref="B1"/>
    </sheetView>
  </sheetViews>
  <sheetFormatPr baseColWidth="10" defaultColWidth="11.44140625" defaultRowHeight="13.2"/>
  <cols>
    <col min="1" max="2" width="5.44140625" customWidth="1"/>
    <col min="3" max="3" width="26.44140625" bestFit="1" customWidth="1"/>
    <col min="4" max="5" width="11.6640625" customWidth="1"/>
    <col min="6" max="6" width="9.6640625" customWidth="1"/>
    <col min="7" max="7" width="11.6640625" customWidth="1"/>
    <col min="8" max="8" width="12.6640625" customWidth="1"/>
    <col min="9" max="9" width="9.6640625" customWidth="1"/>
    <col min="10" max="10" width="6.88671875" customWidth="1"/>
    <col min="11" max="11" width="6.88671875" style="41" customWidth="1"/>
    <col min="12" max="12" width="27.5546875" style="41" customWidth="1"/>
    <col min="13" max="13" width="21.88671875" style="42" customWidth="1"/>
    <col min="14" max="21" width="11.44140625" style="42"/>
    <col min="22" max="25" width="11.441406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3.8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3.8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E28</f>
        <v>2030.5725749746819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5" si="0">E29</f>
        <v>2654.9545184875283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84</v>
      </c>
      <c r="N11" s="53">
        <f t="shared" si="0"/>
        <v>88.376975524502086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J12" s="14"/>
      <c r="M12" s="42" t="s">
        <v>6</v>
      </c>
      <c r="N12" s="53">
        <f t="shared" si="0"/>
        <v>52.497385260650162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M13" s="42" t="s">
        <v>14</v>
      </c>
      <c r="N13" s="53">
        <f t="shared" si="0"/>
        <v>188.45571789750002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5</v>
      </c>
      <c r="N14" s="53">
        <f t="shared" si="0"/>
        <v>85.328107697499959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4</v>
      </c>
      <c r="N15" s="53">
        <f t="shared" si="0"/>
        <v>1.6846225648072708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15"/>
      <c r="D16" s="28"/>
      <c r="E16" s="28"/>
      <c r="M16" s="51" t="s">
        <v>7</v>
      </c>
      <c r="N16" s="55">
        <f>SUBTOTAL(109,N9:N15)</f>
        <v>5101.8699024071693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2:25">
      <c r="C17" s="15"/>
      <c r="D17" s="16"/>
      <c r="E17" s="16"/>
      <c r="F17" s="16"/>
      <c r="G17" s="16"/>
      <c r="H17" s="16"/>
      <c r="I17" s="16"/>
      <c r="N17" s="53"/>
      <c r="O17" s="53"/>
      <c r="P17" s="53"/>
      <c r="Q17" s="53"/>
      <c r="R17" s="53"/>
      <c r="S17" s="53"/>
      <c r="T17" s="54"/>
      <c r="U17" s="54"/>
      <c r="V17" s="54"/>
      <c r="W17" s="54"/>
      <c r="X17" s="65"/>
      <c r="Y17" s="65"/>
    </row>
    <row r="18" spans="2:25">
      <c r="C18" s="15"/>
      <c r="D18" s="16"/>
      <c r="E18" s="16"/>
      <c r="F18" s="16"/>
      <c r="G18" s="16"/>
      <c r="H18" s="16"/>
      <c r="I18" s="16"/>
      <c r="N18" s="66"/>
      <c r="O18" s="66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B19" s="69"/>
      <c r="C19" s="70"/>
      <c r="D19" s="71"/>
      <c r="E19" s="71"/>
      <c r="F19" s="71"/>
      <c r="G19" s="71"/>
      <c r="H19" s="71"/>
      <c r="I19" s="71"/>
      <c r="J19" s="69"/>
      <c r="N19" s="53"/>
      <c r="O19" s="53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C22" s="15"/>
      <c r="D22" s="16"/>
      <c r="E22" s="16"/>
      <c r="F22" s="16"/>
      <c r="G22" s="16"/>
      <c r="H22" s="16"/>
      <c r="I22" s="16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 t="s">
        <v>125</v>
      </c>
      <c r="D23" s="16"/>
      <c r="E23" s="16"/>
      <c r="F23" s="273"/>
      <c r="G23" s="22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5" t="s">
        <v>121</v>
      </c>
      <c r="E24" s="7"/>
      <c r="F24" s="7"/>
      <c r="G24" s="7"/>
      <c r="H24" s="16"/>
      <c r="I24" s="16"/>
      <c r="J24" s="3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 ht="13.8" thickBot="1">
      <c r="B25" s="5"/>
      <c r="C25" s="69"/>
      <c r="D25" s="69"/>
      <c r="E25" s="136"/>
      <c r="F25" s="136"/>
      <c r="G25" s="7"/>
      <c r="H25" s="16"/>
      <c r="I25" s="1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6.5" customHeight="1">
      <c r="C26" s="257" t="s">
        <v>61</v>
      </c>
      <c r="D26" s="346" t="s">
        <v>127</v>
      </c>
      <c r="E26" s="346"/>
      <c r="F26" s="342" t="s">
        <v>74</v>
      </c>
      <c r="G26" s="340" t="s">
        <v>128</v>
      </c>
      <c r="H26" s="341"/>
      <c r="I26" s="342" t="s">
        <v>74</v>
      </c>
      <c r="N26" s="53">
        <v>2021</v>
      </c>
      <c r="O26" s="53">
        <v>2022</v>
      </c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2" customHeight="1">
      <c r="C27" s="258"/>
      <c r="D27" s="75">
        <v>2021</v>
      </c>
      <c r="E27" s="76">
        <v>2022</v>
      </c>
      <c r="F27" s="343"/>
      <c r="G27" s="206">
        <v>2021</v>
      </c>
      <c r="H27" s="76">
        <v>2022</v>
      </c>
      <c r="I27" s="343"/>
      <c r="M27" s="42" t="s">
        <v>85</v>
      </c>
      <c r="N27" s="53">
        <f t="shared" ref="N27:O29" si="1">D28</f>
        <v>2346.1154840000017</v>
      </c>
      <c r="O27" s="53">
        <f t="shared" si="1"/>
        <v>2030.5725749746819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>
      <c r="C28" s="137" t="s">
        <v>85</v>
      </c>
      <c r="D28" s="138">
        <f>'Resumen (G)'!E41+'Resumen (G)'!E46</f>
        <v>2346.1154840000017</v>
      </c>
      <c r="E28" s="139">
        <f>'Resumen (G)'!F41+'Resumen (G)'!F46</f>
        <v>2030.5725749746819</v>
      </c>
      <c r="F28" s="359">
        <f>+E28/D28-1</f>
        <v>-0.13449589808227858</v>
      </c>
      <c r="G28" s="219">
        <f>'Resumen (G)'!H41+'Resumen (G)'!H46</f>
        <v>26375.043905999999</v>
      </c>
      <c r="H28" s="139">
        <f>'Resumen (G)'!I41+'Resumen (G)'!I46</f>
        <v>25583.750969510245</v>
      </c>
      <c r="I28" s="140">
        <f>+H28/G28-1</f>
        <v>-3.0001577980681371E-2</v>
      </c>
      <c r="J28" s="36"/>
      <c r="M28" s="42" t="s">
        <v>2</v>
      </c>
      <c r="N28" s="53">
        <f t="shared" si="1"/>
        <v>2151.0876450000005</v>
      </c>
      <c r="O28" s="53">
        <f t="shared" si="1"/>
        <v>2654.9545184875283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41" t="s">
        <v>2</v>
      </c>
      <c r="D29" s="142">
        <v>2151.0876450000005</v>
      </c>
      <c r="E29" s="143">
        <v>2654.9545184875283</v>
      </c>
      <c r="F29" s="144">
        <f t="shared" ref="F29:F35" si="2">+E29/D29-1</f>
        <v>0.23423818860134249</v>
      </c>
      <c r="G29" s="220">
        <v>17803.518414000002</v>
      </c>
      <c r="H29" s="143">
        <v>19930.522118908884</v>
      </c>
      <c r="I29" s="144">
        <f t="shared" ref="I29:I35" si="3">+H29/G29-1</f>
        <v>0.11947097508750226</v>
      </c>
      <c r="J29" s="224"/>
      <c r="K29" s="225"/>
      <c r="M29" s="42" t="s">
        <v>84</v>
      </c>
      <c r="N29" s="53">
        <f t="shared" si="1"/>
        <v>81.490463980141612</v>
      </c>
      <c r="O29" s="53">
        <f t="shared" si="1"/>
        <v>88.376975524502086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3</v>
      </c>
      <c r="D30" s="142">
        <f>'Resumen (G)'!E32-SUM('TipoRecurso (G)'!D28:D29,'TipoRecurso (G)'!D31:D34)</f>
        <v>81.490463980141612</v>
      </c>
      <c r="E30" s="143">
        <f>'Resumen (G)'!F32-SUM('TipoRecurso (G)'!E28:E29,'TipoRecurso (G)'!E31:E34)</f>
        <v>88.376975524502086</v>
      </c>
      <c r="F30" s="144">
        <f t="shared" si="2"/>
        <v>8.4506962017526943E-2</v>
      </c>
      <c r="G30" s="220">
        <f>'Resumen (G)'!H32-SUM('TipoRecurso (G)'!G28:G29,'TipoRecurso (G)'!G31:G34)</f>
        <v>766.97409180139948</v>
      </c>
      <c r="H30" s="143">
        <f>'Resumen (G)'!I32-SUM('TipoRecurso (G)'!H28:H29,'TipoRecurso (G)'!H31:H34)</f>
        <v>776.68862291237019</v>
      </c>
      <c r="I30" s="144">
        <f t="shared" si="3"/>
        <v>1.2666048586014389E-2</v>
      </c>
      <c r="J30" s="36"/>
      <c r="M30" s="42" t="s">
        <v>4</v>
      </c>
      <c r="N30" s="77">
        <f>D34</f>
        <v>1.8902000000000001</v>
      </c>
      <c r="O30" s="77">
        <f>E34</f>
        <v>1.6846225648072708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6</v>
      </c>
      <c r="D31" s="142">
        <f>'Resumen (G)'!E57+'Resumen (G)'!E62-SUM('TipoRecurso (G)'!D32:D33)</f>
        <v>60.295688000000041</v>
      </c>
      <c r="E31" s="143">
        <f>'Resumen (G)'!F57+'Resumen (G)'!F62-SUM('TipoRecurso (G)'!E32:E33)</f>
        <v>52.497385260650162</v>
      </c>
      <c r="F31" s="144">
        <f t="shared" si="2"/>
        <v>-0.12933433547271034</v>
      </c>
      <c r="G31" s="220">
        <f>'Resumen (G)'!H57+'Resumen (G)'!H62-SUM('TipoRecurso (G)'!G32:G33)</f>
        <v>457.69658100000015</v>
      </c>
      <c r="H31" s="143">
        <f>'Resumen (G)'!I57+'Resumen (G)'!I62-SUM('TipoRecurso (G)'!H32:H33)</f>
        <v>438.84559084166813</v>
      </c>
      <c r="I31" s="144">
        <f t="shared" si="3"/>
        <v>-4.1186652775831001E-2</v>
      </c>
      <c r="M31" s="42" t="s">
        <v>90</v>
      </c>
      <c r="N31" s="53">
        <f t="shared" ref="N31:O33" si="4">D31</f>
        <v>60.295688000000041</v>
      </c>
      <c r="O31" s="53">
        <f t="shared" si="4"/>
        <v>52.497385260650162</v>
      </c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14</v>
      </c>
      <c r="D32" s="142">
        <f>'Resumen (G)'!E43</f>
        <v>174.61038799999997</v>
      </c>
      <c r="E32" s="143">
        <f>'Resumen (G)'!F43</f>
        <v>188.45571789750002</v>
      </c>
      <c r="F32" s="144">
        <f t="shared" si="2"/>
        <v>7.929270449533643E-2</v>
      </c>
      <c r="G32" s="220">
        <f>'Resumen (G)'!H43</f>
        <v>1518.3845729999998</v>
      </c>
      <c r="H32" s="143">
        <f>'Resumen (G)'!I43</f>
        <v>1663.4727602550001</v>
      </c>
      <c r="I32" s="144">
        <f t="shared" si="3"/>
        <v>9.5554308068566129E-2</v>
      </c>
      <c r="M32" s="42" t="s">
        <v>14</v>
      </c>
      <c r="N32" s="53">
        <f t="shared" si="4"/>
        <v>174.61038799999997</v>
      </c>
      <c r="O32" s="53">
        <f t="shared" si="4"/>
        <v>188.45571789750002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5</v>
      </c>
      <c r="D33" s="142">
        <f>'Resumen (G)'!E44</f>
        <v>80.870885999999999</v>
      </c>
      <c r="E33" s="143">
        <f>'Resumen (G)'!F44</f>
        <v>85.328107697499959</v>
      </c>
      <c r="F33" s="144">
        <f t="shared" si="2"/>
        <v>5.5115282123902487E-2</v>
      </c>
      <c r="G33" s="220">
        <f>'Resumen (G)'!H44</f>
        <v>651.69030600000008</v>
      </c>
      <c r="H33" s="143">
        <f>'Resumen (G)'!I44</f>
        <v>666.76276161499993</v>
      </c>
      <c r="I33" s="144">
        <f t="shared" si="3"/>
        <v>2.3128248918589556E-2</v>
      </c>
      <c r="M33" s="42" t="s">
        <v>5</v>
      </c>
      <c r="N33" s="53">
        <f t="shared" si="4"/>
        <v>80.870885999999999</v>
      </c>
      <c r="O33" s="53">
        <f t="shared" si="4"/>
        <v>85.328107697499959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 ht="13.8" thickBot="1">
      <c r="C34" s="145" t="s">
        <v>131</v>
      </c>
      <c r="D34" s="318">
        <v>1.8902000000000001</v>
      </c>
      <c r="E34" s="319">
        <v>1.6846225648072708</v>
      </c>
      <c r="F34" s="146">
        <f t="shared" si="2"/>
        <v>-0.10875962077702317</v>
      </c>
      <c r="G34" s="311">
        <v>19.191741</v>
      </c>
      <c r="H34" s="312">
        <v>19.798372783517053</v>
      </c>
      <c r="I34" s="146">
        <f t="shared" si="3"/>
        <v>3.1609002201366421E-2</v>
      </c>
      <c r="N34" s="53">
        <f>SUM(N27:N33)</f>
        <v>4896.3607549801436</v>
      </c>
      <c r="O34" s="53">
        <f>SUM(O27:O33)</f>
        <v>5101.8699024071693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 ht="15" customHeight="1" thickTop="1" thickBot="1">
      <c r="C35" s="259" t="s">
        <v>108</v>
      </c>
      <c r="D35" s="260">
        <f>SUM(D28:D34)</f>
        <v>4896.3607549801436</v>
      </c>
      <c r="E35" s="261">
        <f>SUM(E28:E34)</f>
        <v>5101.8699024071693</v>
      </c>
      <c r="F35" s="262">
        <f t="shared" si="2"/>
        <v>4.197181492764801E-2</v>
      </c>
      <c r="G35" s="263">
        <f>SUM(G28:G34)</f>
        <v>47592.499612801395</v>
      </c>
      <c r="H35" s="261">
        <f>SUM(H28:H34)</f>
        <v>49079.841196826674</v>
      </c>
      <c r="I35" s="264">
        <f t="shared" si="3"/>
        <v>3.1251596283571104E-2</v>
      </c>
      <c r="N35" s="53"/>
      <c r="O35" s="53"/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>
      <c r="B36" s="9"/>
      <c r="C36" s="147"/>
      <c r="D36" s="147"/>
      <c r="E36" s="148"/>
      <c r="F36" s="149"/>
      <c r="G36" s="10"/>
      <c r="H36" s="10"/>
      <c r="I36" s="11"/>
      <c r="N36" s="53"/>
      <c r="O36" s="53"/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>
      <c r="C37" s="15"/>
      <c r="D37" s="16"/>
      <c r="E37" s="16"/>
      <c r="G37" s="15"/>
      <c r="H37" s="16"/>
      <c r="I37" s="16"/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C38" s="8"/>
      <c r="D38" s="16"/>
      <c r="E38" s="16"/>
      <c r="G38" s="8"/>
      <c r="H38" s="16"/>
      <c r="I38" s="16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M39" s="197"/>
      <c r="N39" s="197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15"/>
      <c r="D40" s="16"/>
      <c r="E40" s="16"/>
      <c r="G40" s="15"/>
      <c r="H40" s="16"/>
      <c r="I40" s="16"/>
      <c r="M40" s="197">
        <f t="shared" ref="M40:N46" si="5">N27/N$34</f>
        <v>0.47915494821612997</v>
      </c>
      <c r="N40" s="197">
        <f t="shared" si="5"/>
        <v>0.39800555753423172</v>
      </c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7">
        <f t="shared" si="5"/>
        <v>0.43932376567884729</v>
      </c>
      <c r="N41" s="197">
        <f t="shared" si="5"/>
        <v>0.52038851818523735</v>
      </c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7">
        <f t="shared" si="5"/>
        <v>1.6643067792187646E-2</v>
      </c>
      <c r="N42" s="197">
        <f t="shared" si="5"/>
        <v>1.732246749036152E-2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7">
        <f t="shared" si="5"/>
        <v>3.8604181648124199E-4</v>
      </c>
      <c r="N43" s="197">
        <f t="shared" si="5"/>
        <v>3.301970840166721E-4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7">
        <f t="shared" si="5"/>
        <v>1.2314388382978648E-2</v>
      </c>
      <c r="N44" s="197">
        <f t="shared" si="5"/>
        <v>1.0289832211495788E-2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7">
        <f t="shared" si="5"/>
        <v>3.5661258787437547E-2</v>
      </c>
      <c r="N45" s="197">
        <f t="shared" si="5"/>
        <v>3.6938558117403708E-2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7">
        <f t="shared" si="5"/>
        <v>1.6516529325937699E-2</v>
      </c>
      <c r="N46" s="197">
        <f t="shared" si="5"/>
        <v>1.6724869377253301E-2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7">
        <f>N34/N$34</f>
        <v>1</v>
      </c>
      <c r="N47" s="197">
        <f>O34/O$34</f>
        <v>1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N48" s="53"/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 ht="13.8">
      <c r="B49" s="12" t="s">
        <v>100</v>
      </c>
      <c r="D49" s="16"/>
      <c r="E49" s="16"/>
      <c r="F49" s="16"/>
      <c r="G49" s="16"/>
      <c r="H49" s="16"/>
      <c r="I49" s="16"/>
      <c r="M49" s="198">
        <f>SUM(M39:M46)</f>
        <v>1</v>
      </c>
      <c r="N49" s="198">
        <f>SUM(N39:N46)</f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F50" s="16"/>
      <c r="G50" s="16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>
      <c r="C51" s="5" t="s">
        <v>122</v>
      </c>
      <c r="D51" s="16"/>
      <c r="E51" s="16"/>
      <c r="F51" s="16"/>
      <c r="G51" s="16"/>
      <c r="H51" s="16"/>
      <c r="I51" s="16"/>
      <c r="N51" s="53"/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 ht="13.8" thickBot="1">
      <c r="C52" s="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3"/>
      <c r="U52" s="53"/>
      <c r="V52" s="56"/>
    </row>
    <row r="53" spans="2:25" ht="13.8">
      <c r="C53" s="344" t="s">
        <v>91</v>
      </c>
      <c r="D53" s="346" t="s">
        <v>127</v>
      </c>
      <c r="E53" s="346"/>
      <c r="F53" s="342" t="s">
        <v>74</v>
      </c>
      <c r="G53" s="340" t="s">
        <v>128</v>
      </c>
      <c r="H53" s="341"/>
      <c r="I53" s="342" t="s">
        <v>74</v>
      </c>
      <c r="N53" s="53"/>
      <c r="O53" s="53"/>
      <c r="P53" s="53"/>
      <c r="Q53" s="53"/>
      <c r="R53" s="53"/>
      <c r="S53" s="53"/>
      <c r="T53" s="53"/>
      <c r="U53" s="53"/>
      <c r="V53" s="56"/>
    </row>
    <row r="54" spans="2:25">
      <c r="C54" s="345"/>
      <c r="D54" s="75">
        <v>2021</v>
      </c>
      <c r="E54" s="76">
        <v>2022</v>
      </c>
      <c r="F54" s="343"/>
      <c r="G54" s="206">
        <v>2021</v>
      </c>
      <c r="H54" s="76">
        <v>2022</v>
      </c>
      <c r="I54" s="343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24.75" customHeight="1">
      <c r="C55" s="250" t="s">
        <v>42</v>
      </c>
      <c r="D55" s="251">
        <f>SUM(D28:D30,D34)</f>
        <v>4580.5837929801437</v>
      </c>
      <c r="E55" s="252">
        <f>SUM(E28:E30,E34)</f>
        <v>4775.5886915515193</v>
      </c>
      <c r="F55" s="253">
        <f>+E55/D55-1</f>
        <v>4.2572062292632884E-2</v>
      </c>
      <c r="G55" s="254">
        <f>SUM(G28:G30,G34)</f>
        <v>44964.728152801399</v>
      </c>
      <c r="H55" s="252">
        <f>SUM(H28:H30,H34)</f>
        <v>46310.760084115012</v>
      </c>
      <c r="I55" s="253">
        <f>+H55/G55-1</f>
        <v>2.9935284535457685E-2</v>
      </c>
      <c r="M55" s="51"/>
      <c r="N55" s="55"/>
      <c r="O55" s="55"/>
      <c r="P55" s="55"/>
      <c r="Q55" s="55"/>
      <c r="R55" s="55"/>
      <c r="S55" s="55"/>
      <c r="T55" s="53"/>
      <c r="U55" s="53"/>
    </row>
    <row r="56" spans="2:25" ht="24.6" thickBot="1">
      <c r="C56" s="255" t="s">
        <v>104</v>
      </c>
      <c r="D56" s="304">
        <f>SUM(D31:D33)</f>
        <v>315.77696200000003</v>
      </c>
      <c r="E56" s="256">
        <f>SUM(E31:E33)</f>
        <v>326.28121085565016</v>
      </c>
      <c r="F56" s="305">
        <f>+E56/D56-1</f>
        <v>3.3264772670940301E-2</v>
      </c>
      <c r="G56" s="314">
        <f>SUM(G31:G33)</f>
        <v>2627.7714599999999</v>
      </c>
      <c r="H56" s="256">
        <f>SUM(H31:H33)</f>
        <v>2769.0811127116681</v>
      </c>
      <c r="I56" s="315">
        <f>+H56/G56-1</f>
        <v>5.3775472815154268E-2</v>
      </c>
      <c r="N56" s="53"/>
      <c r="O56" s="53"/>
      <c r="P56" s="53"/>
      <c r="Q56" s="53"/>
      <c r="R56" s="53"/>
      <c r="S56" s="53"/>
      <c r="T56" s="53"/>
      <c r="U56" s="53"/>
    </row>
    <row r="57" spans="2:25">
      <c r="C57" s="90" t="s">
        <v>71</v>
      </c>
      <c r="D57" s="78">
        <f>SUM(D55:D56)</f>
        <v>4896.3607549801436</v>
      </c>
      <c r="E57" s="79">
        <f>SUM(E55:E56)</f>
        <v>5101.8699024071693</v>
      </c>
      <c r="F57" s="80">
        <f>+E57/D57-1</f>
        <v>4.197181492764801E-2</v>
      </c>
      <c r="G57" s="221">
        <f>SUM(G55:G56)</f>
        <v>47592.499612801403</v>
      </c>
      <c r="H57" s="79">
        <f>SUM(H55:H56)</f>
        <v>49079.841196826681</v>
      </c>
      <c r="I57" s="80">
        <f>+H57/G57-1</f>
        <v>3.1251596283571104E-2</v>
      </c>
      <c r="N57" s="57"/>
      <c r="O57" s="57"/>
      <c r="P57" s="57"/>
      <c r="Q57" s="57"/>
      <c r="R57" s="57"/>
      <c r="S57" s="57"/>
      <c r="T57" s="57"/>
      <c r="U57" s="57"/>
    </row>
    <row r="58" spans="2:25" ht="13.8" thickBot="1">
      <c r="C58" s="103" t="s">
        <v>8</v>
      </c>
      <c r="D58" s="81">
        <f>+D56/D57</f>
        <v>6.4492176496353901E-2</v>
      </c>
      <c r="E58" s="82">
        <f>+E56/E57</f>
        <v>6.3953259706152801E-2</v>
      </c>
      <c r="F58" s="83"/>
      <c r="G58" s="222">
        <f>+G56/G57</f>
        <v>5.5213982904423524E-2</v>
      </c>
      <c r="H58" s="82">
        <f>+H56/H57</f>
        <v>5.6419928125005965E-2</v>
      </c>
      <c r="I58" s="83"/>
      <c r="N58" s="57"/>
      <c r="O58" s="57"/>
      <c r="P58" s="57"/>
      <c r="Q58" s="57"/>
      <c r="R58" s="57"/>
      <c r="S58" s="57"/>
      <c r="T58" s="57"/>
      <c r="U58" s="57"/>
    </row>
    <row r="59" spans="2:25">
      <c r="C59" s="228" t="s">
        <v>105</v>
      </c>
      <c r="D59" s="101"/>
      <c r="E59" s="101"/>
      <c r="F59" s="102"/>
      <c r="G59" s="16"/>
      <c r="H59" s="16"/>
      <c r="I59" s="16"/>
      <c r="N59" s="57"/>
      <c r="O59" s="57"/>
      <c r="P59" s="57"/>
      <c r="Q59" s="57"/>
      <c r="R59" s="57"/>
      <c r="S59" s="57"/>
      <c r="T59" s="57"/>
      <c r="U59" s="57"/>
    </row>
    <row r="60" spans="2:25">
      <c r="C60" s="15"/>
      <c r="D60" s="16"/>
      <c r="E60" s="16"/>
      <c r="F60" s="16"/>
      <c r="G60" s="16"/>
      <c r="H60" s="16"/>
      <c r="I60" s="16"/>
      <c r="K60" s="58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2:25">
      <c r="K61" s="58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2:25">
      <c r="K62" s="58"/>
      <c r="L62" s="42"/>
      <c r="P62" s="59"/>
      <c r="Q62" s="59"/>
      <c r="R62" s="59"/>
      <c r="S62" s="59"/>
      <c r="T62" s="59"/>
      <c r="U62" s="59"/>
      <c r="V62" s="59"/>
    </row>
    <row r="63" spans="2:25" ht="26.4">
      <c r="L63" s="68" t="s">
        <v>57</v>
      </c>
      <c r="M63" s="59">
        <f>D55</f>
        <v>4580.5837929801437</v>
      </c>
      <c r="N63" s="59">
        <f>E55</f>
        <v>4775.5886915515193</v>
      </c>
      <c r="O63" s="67">
        <v>4.4847805250167516E-2</v>
      </c>
      <c r="P63" s="60"/>
      <c r="Q63" s="60"/>
      <c r="R63" s="60"/>
      <c r="S63" s="60"/>
      <c r="T63" s="60"/>
    </row>
    <row r="64" spans="2:25" ht="39.6">
      <c r="K64" s="58"/>
      <c r="L64" s="68" t="s">
        <v>58</v>
      </c>
      <c r="M64" s="59">
        <f>D56</f>
        <v>315.77696200000003</v>
      </c>
      <c r="N64" s="59">
        <f>E56</f>
        <v>326.28121085565016</v>
      </c>
      <c r="O64" s="67">
        <v>0.12281081992035348</v>
      </c>
      <c r="P64" s="59"/>
      <c r="Q64" s="59"/>
      <c r="R64" s="59"/>
      <c r="S64" s="59"/>
      <c r="T64" s="59"/>
      <c r="U64" s="59"/>
      <c r="V64" s="59"/>
      <c r="W64" s="59"/>
      <c r="X64" s="59"/>
    </row>
    <row r="65" spans="2:24">
      <c r="K65" s="58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2:24">
      <c r="K66" s="58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 ht="26.25" customHeight="1"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2:24" ht="24.75" customHeight="1"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2:24">
      <c r="M70" s="51"/>
      <c r="N70" s="55"/>
      <c r="O70" s="55"/>
      <c r="P70" s="55"/>
      <c r="Q70" s="55"/>
      <c r="R70" s="55"/>
      <c r="S70" s="55"/>
      <c r="T70" s="55"/>
      <c r="U70" s="55"/>
      <c r="V70" s="53"/>
    </row>
    <row r="71" spans="2:24">
      <c r="C71" s="228" t="s">
        <v>105</v>
      </c>
      <c r="M71" s="51"/>
      <c r="N71" s="61"/>
      <c r="O71" s="61"/>
      <c r="P71" s="61"/>
      <c r="Q71" s="61"/>
      <c r="R71" s="61"/>
      <c r="S71" s="61"/>
      <c r="T71" s="61"/>
      <c r="U71" s="61"/>
      <c r="V71" s="62"/>
    </row>
    <row r="72" spans="2:24" ht="13.8">
      <c r="B72" s="12" t="s">
        <v>115</v>
      </c>
    </row>
    <row r="73" spans="2:24" ht="13.8">
      <c r="B73" s="12"/>
    </row>
    <row r="74" spans="2:24" ht="13.8">
      <c r="B74" s="12"/>
      <c r="C74" s="5" t="s">
        <v>123</v>
      </c>
    </row>
    <row r="75" spans="2:24" ht="13.8" thickBot="1">
      <c r="N75" s="42">
        <v>2021</v>
      </c>
      <c r="O75" s="42">
        <v>2022</v>
      </c>
    </row>
    <row r="76" spans="2:24" ht="15" customHeight="1">
      <c r="C76" s="274"/>
      <c r="D76" s="346" t="s">
        <v>127</v>
      </c>
      <c r="E76" s="346"/>
      <c r="F76" s="84" t="s">
        <v>74</v>
      </c>
      <c r="G76" s="340" t="s">
        <v>128</v>
      </c>
      <c r="H76" s="341"/>
      <c r="I76" s="84" t="s">
        <v>74</v>
      </c>
      <c r="M76" s="42" t="s">
        <v>96</v>
      </c>
      <c r="N76" s="53">
        <f>D78</f>
        <v>1.6168279850000002</v>
      </c>
      <c r="O76" s="53">
        <f>E78</f>
        <v>1.649589545</v>
      </c>
    </row>
    <row r="77" spans="2:24" ht="12.75" customHeight="1">
      <c r="C77" s="302" t="s">
        <v>95</v>
      </c>
      <c r="D77" s="303">
        <v>2021</v>
      </c>
      <c r="E77" s="76">
        <v>2022</v>
      </c>
      <c r="F77" s="85"/>
      <c r="G77" s="296">
        <v>2021</v>
      </c>
      <c r="H77" s="76">
        <v>2022</v>
      </c>
      <c r="I77" s="85"/>
      <c r="M77" s="42" t="s">
        <v>97</v>
      </c>
      <c r="N77" s="53">
        <f>D79</f>
        <v>4741.7840750150026</v>
      </c>
      <c r="O77" s="53">
        <f>E79</f>
        <v>4985.2445727415225</v>
      </c>
    </row>
    <row r="78" spans="2:24" ht="12.75" customHeight="1">
      <c r="C78" s="110" t="s">
        <v>96</v>
      </c>
      <c r="D78" s="320">
        <v>1.6168279850000002</v>
      </c>
      <c r="E78" s="321">
        <v>1.649589545</v>
      </c>
      <c r="F78" s="130">
        <f>((E78/D78)-1)</f>
        <v>2.0262860554086659E-2</v>
      </c>
      <c r="G78" s="203">
        <v>27.173147057499996</v>
      </c>
      <c r="H78" s="301">
        <v>273.60080489750004</v>
      </c>
      <c r="I78" s="130">
        <f>((H78/G78)-1)</f>
        <v>9.0687934422370908</v>
      </c>
      <c r="K78" s="54"/>
    </row>
    <row r="79" spans="2:24" ht="16.5" customHeight="1" thickBot="1">
      <c r="C79" s="115" t="s">
        <v>97</v>
      </c>
      <c r="D79" s="118">
        <f>'Resumen (G)'!E40-D78</f>
        <v>4741.7840750150026</v>
      </c>
      <c r="E79" s="281">
        <f>'Resumen (G)'!F40-E78</f>
        <v>4985.2445727415225</v>
      </c>
      <c r="F79" s="133">
        <f>((E79/D79)-1)</f>
        <v>5.134364911496947E-2</v>
      </c>
      <c r="G79" s="204">
        <f>'Resumen (G)'!H40-G78</f>
        <v>46034.338100942492</v>
      </c>
      <c r="H79" s="281">
        <f>'Resumen (G)'!I40-H78</f>
        <v>47464.671718419057</v>
      </c>
      <c r="I79" s="133">
        <f>((H79/G79)-1)</f>
        <v>3.1071015170027527E-2</v>
      </c>
      <c r="M79" s="53"/>
      <c r="N79" s="53"/>
      <c r="O79" s="53"/>
    </row>
    <row r="80" spans="2:24" ht="14.4" thickTop="1" thickBot="1">
      <c r="C80" s="104" t="s">
        <v>94</v>
      </c>
      <c r="D80" s="199">
        <f>SUM(D78:D79)</f>
        <v>4743.4009030000025</v>
      </c>
      <c r="E80" s="282">
        <f>SUM(E78:E79)</f>
        <v>4986.8941622865223</v>
      </c>
      <c r="F80" s="105"/>
      <c r="G80" s="223">
        <f>SUM(G78:G79)</f>
        <v>46061.511247999995</v>
      </c>
      <c r="H80" s="282">
        <f>SUM(H78:H79)</f>
        <v>47738.272523316555</v>
      </c>
      <c r="I80" s="105"/>
      <c r="N80" s="53"/>
      <c r="O80" s="53"/>
    </row>
    <row r="81" spans="3:6">
      <c r="C81" s="72"/>
      <c r="D81" s="36"/>
      <c r="E81" s="36"/>
      <c r="F81" s="73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R65"/>
  <sheetViews>
    <sheetView view="pageBreakPreview" topLeftCell="A31" zoomScale="90" zoomScaleNormal="100" zoomScaleSheetLayoutView="90" workbookViewId="0">
      <selection activeCell="C2" sqref="C2"/>
    </sheetView>
  </sheetViews>
  <sheetFormatPr baseColWidth="10" defaultColWidth="11.44140625" defaultRowHeight="13.2"/>
  <cols>
    <col min="1" max="1" width="5.44140625" customWidth="1"/>
    <col min="2" max="2" width="3.88671875" customWidth="1"/>
    <col min="3" max="3" width="27.88671875" customWidth="1"/>
    <col min="4" max="5" width="11.6640625" customWidth="1"/>
    <col min="6" max="6" width="9.6640625" customWidth="1"/>
    <col min="7" max="7" width="13" customWidth="1"/>
    <col min="8" max="8" width="13.109375" customWidth="1"/>
    <col min="9" max="9" width="9.5546875" customWidth="1"/>
    <col min="10" max="10" width="3.6640625" customWidth="1"/>
    <col min="11" max="11" width="9" customWidth="1"/>
    <col min="13" max="13" width="19.109375" customWidth="1"/>
    <col min="14" max="14" width="8.33203125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3:13" ht="13.8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3.8">
      <c r="C3" s="13"/>
      <c r="D3" s="2"/>
      <c r="E3" s="13"/>
      <c r="F3" s="13"/>
      <c r="G3" s="13"/>
      <c r="H3" s="13"/>
      <c r="I3" s="13"/>
      <c r="J3" s="13"/>
    </row>
    <row r="4" spans="3:13" ht="13.8">
      <c r="C4" s="12" t="s">
        <v>124</v>
      </c>
      <c r="D4" s="2"/>
      <c r="E4" s="12"/>
      <c r="F4" s="12"/>
      <c r="G4" s="12"/>
      <c r="H4" s="12"/>
      <c r="I4" s="12"/>
      <c r="J4" s="12"/>
    </row>
    <row r="6" spans="3:13">
      <c r="C6" s="5" t="s">
        <v>133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8" t="s">
        <v>44</v>
      </c>
      <c r="D8" s="354" t="s">
        <v>127</v>
      </c>
      <c r="E8" s="355"/>
      <c r="F8" s="342" t="s">
        <v>74</v>
      </c>
      <c r="G8" s="340" t="s">
        <v>128</v>
      </c>
      <c r="H8" s="341"/>
      <c r="I8" s="342" t="s">
        <v>74</v>
      </c>
      <c r="J8" s="16"/>
    </row>
    <row r="9" spans="3:13" ht="13.5" customHeight="1">
      <c r="C9" s="179"/>
      <c r="D9" s="88">
        <v>2021</v>
      </c>
      <c r="E9" s="76">
        <v>2022</v>
      </c>
      <c r="F9" s="343"/>
      <c r="G9" s="296">
        <v>2021</v>
      </c>
      <c r="H9" s="76">
        <v>2022</v>
      </c>
      <c r="I9" s="343"/>
      <c r="J9" s="16"/>
    </row>
    <row r="10" spans="3:13">
      <c r="C10" s="166" t="s">
        <v>10</v>
      </c>
      <c r="D10" s="167">
        <f>'Por Región (G)'!O8</f>
        <v>340.33335499999998</v>
      </c>
      <c r="E10" s="168">
        <f>'Por Región (G)'!P8</f>
        <v>357.41641027289478</v>
      </c>
      <c r="F10" s="169">
        <f>+E10/D10-1</f>
        <v>5.0195066166508484E-2</v>
      </c>
      <c r="G10" s="292">
        <f>'Por Región (G)'!Q8</f>
        <v>3135.6299339999991</v>
      </c>
      <c r="H10" s="168">
        <f>'Por Región (G)'!R8</f>
        <v>3282.8240833204459</v>
      </c>
      <c r="I10" s="169">
        <f>+H10/G10-1</f>
        <v>4.6942449338298387E-2</v>
      </c>
      <c r="J10" s="16"/>
      <c r="L10" s="41" t="s">
        <v>9</v>
      </c>
      <c r="M10" s="200">
        <f>E11</f>
        <v>4121.0021129025099</v>
      </c>
    </row>
    <row r="11" spans="3:13">
      <c r="C11" s="170" t="s">
        <v>9</v>
      </c>
      <c r="D11" s="171">
        <f>'Por Región (G)'!O9</f>
        <v>3976.7513659999995</v>
      </c>
      <c r="E11" s="172">
        <f>'Por Región (G)'!P9</f>
        <v>4121.0021129025099</v>
      </c>
      <c r="F11" s="173">
        <f>+E11/D11-1</f>
        <v>3.627351413915636E-2</v>
      </c>
      <c r="G11" s="293">
        <f>'Por Región (G)'!Q9</f>
        <v>38341.503525</v>
      </c>
      <c r="H11" s="172">
        <f>'Por Región (G)'!R9</f>
        <v>39584.184166780171</v>
      </c>
      <c r="I11" s="173">
        <f>+H11/G11-1</f>
        <v>3.2410847972351942E-2</v>
      </c>
      <c r="J11" s="16"/>
      <c r="L11" s="41" t="s">
        <v>12</v>
      </c>
      <c r="M11" s="200">
        <f>E12</f>
        <v>588.06580432459543</v>
      </c>
    </row>
    <row r="12" spans="3:13">
      <c r="C12" s="170" t="s">
        <v>12</v>
      </c>
      <c r="D12" s="171">
        <f>'Por Región (G)'!O10</f>
        <v>542.21244500000012</v>
      </c>
      <c r="E12" s="172">
        <f>'Por Región (G)'!P10</f>
        <v>588.06580432459543</v>
      </c>
      <c r="F12" s="173">
        <f>+E12/D12-1</f>
        <v>8.4567146599881626E-2</v>
      </c>
      <c r="G12" s="293">
        <f>'Por Región (G)'!Q10</f>
        <v>5774.4150529999997</v>
      </c>
      <c r="H12" s="172">
        <f>'Por Región (G)'!R10</f>
        <v>5865.6479419976367</v>
      </c>
      <c r="I12" s="317">
        <f>+H12/G12-1</f>
        <v>1.5799503180887298E-2</v>
      </c>
      <c r="J12" s="16"/>
      <c r="L12" s="41" t="s">
        <v>10</v>
      </c>
      <c r="M12" s="200">
        <f>E10</f>
        <v>357.41641027289478</v>
      </c>
    </row>
    <row r="13" spans="3:13">
      <c r="C13" s="174" t="s">
        <v>11</v>
      </c>
      <c r="D13" s="175">
        <f>'Por Región (G)'!O11</f>
        <v>37.06358800000001</v>
      </c>
      <c r="E13" s="176">
        <f>'Por Región (G)'!P11</f>
        <v>35.385572500000002</v>
      </c>
      <c r="F13" s="177">
        <f>+E13/D13-1</f>
        <v>-4.5273962682728097E-2</v>
      </c>
      <c r="G13" s="294">
        <f>'Por Región (G)'!Q11</f>
        <v>340.95109100000002</v>
      </c>
      <c r="H13" s="176">
        <f>'Por Región (G)'!R11</f>
        <v>347.18499349999996</v>
      </c>
      <c r="I13" s="177">
        <f>+H13/G13-1</f>
        <v>1.8283861423396663E-2</v>
      </c>
      <c r="J13" s="16"/>
      <c r="L13" s="41" t="s">
        <v>11</v>
      </c>
      <c r="M13" s="200">
        <f>E13</f>
        <v>35.385572500000002</v>
      </c>
    </row>
    <row r="14" spans="3:13" ht="13.8" thickBot="1">
      <c r="C14" s="180" t="s">
        <v>108</v>
      </c>
      <c r="D14" s="181">
        <f>SUM(D10:D13)</f>
        <v>4896.3607539999994</v>
      </c>
      <c r="E14" s="182">
        <f>SUM(E10:E13)</f>
        <v>5101.8699000000006</v>
      </c>
      <c r="F14" s="183">
        <f>+E14/D14-1</f>
        <v>4.1971814644603977E-2</v>
      </c>
      <c r="G14" s="295">
        <f>SUM(G10:G13)</f>
        <v>47592.499602999997</v>
      </c>
      <c r="H14" s="182">
        <f>SUM(H10:H13)</f>
        <v>49079.841185598256</v>
      </c>
      <c r="I14" s="183">
        <f>+H14/G14-1</f>
        <v>3.1251596260023051E-2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3.8">
      <c r="C16" s="12" t="s">
        <v>134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51" t="s">
        <v>93</v>
      </c>
      <c r="D18" s="351"/>
      <c r="E18" s="351"/>
      <c r="F18" s="351"/>
      <c r="G18" s="352" t="s">
        <v>107</v>
      </c>
      <c r="H18" s="353"/>
      <c r="I18" s="353"/>
      <c r="J18" s="353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8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7" t="s">
        <v>12</v>
      </c>
      <c r="R44" s="20" t="s">
        <v>38</v>
      </c>
    </row>
    <row r="45" spans="3:18" ht="13.8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8" thickBot="1">
      <c r="C53" s="184" t="s">
        <v>98</v>
      </c>
      <c r="D53" s="69"/>
      <c r="E53" s="69"/>
      <c r="F53" s="69"/>
      <c r="G53" s="69"/>
      <c r="H53" s="69"/>
      <c r="I53" s="27"/>
    </row>
    <row r="54" spans="3:15" ht="13.8">
      <c r="C54" s="347" t="s">
        <v>13</v>
      </c>
      <c r="D54" s="349" t="s">
        <v>135</v>
      </c>
      <c r="E54" s="350"/>
      <c r="F54" s="350"/>
      <c r="G54" s="350"/>
      <c r="H54" s="350"/>
    </row>
    <row r="55" spans="3:15">
      <c r="C55" s="348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5" t="s">
        <v>10</v>
      </c>
      <c r="D56" s="288">
        <f>'Resumen (G)'!F14-'PorZona (G)'!D58</f>
        <v>110.40336010250003</v>
      </c>
      <c r="E56" s="188">
        <v>88.790016215323362</v>
      </c>
      <c r="F56" s="188">
        <v>0</v>
      </c>
      <c r="G56" s="188">
        <v>158.2230339550714</v>
      </c>
      <c r="H56" s="188">
        <f>SUM(D56:G56)</f>
        <v>357.41641027289478</v>
      </c>
      <c r="I56" s="284"/>
      <c r="K56" s="265"/>
      <c r="L56" s="265"/>
      <c r="M56" s="265"/>
      <c r="N56" s="265"/>
      <c r="O56" s="265"/>
    </row>
    <row r="57" spans="3:15">
      <c r="C57" s="110" t="s">
        <v>9</v>
      </c>
      <c r="D57" s="289">
        <v>0</v>
      </c>
      <c r="E57" s="189">
        <v>1642.156445663805</v>
      </c>
      <c r="F57" s="290">
        <v>6.4619999999999999E-3</v>
      </c>
      <c r="G57" s="189">
        <v>2478.8392052387048</v>
      </c>
      <c r="H57" s="189">
        <f>SUM(D57:G57)</f>
        <v>4121.0021129025099</v>
      </c>
      <c r="I57" s="284"/>
      <c r="K57" s="265"/>
      <c r="L57" s="265"/>
      <c r="M57" s="265"/>
      <c r="N57" s="265"/>
      <c r="O57" s="265"/>
    </row>
    <row r="58" spans="3:15">
      <c r="C58" s="110" t="s">
        <v>12</v>
      </c>
      <c r="D58" s="289">
        <v>78.052357794999992</v>
      </c>
      <c r="E58" s="189">
        <v>299.62610812087155</v>
      </c>
      <c r="F58" s="189">
        <f>'Resumen (G)'!D15+0.0162</f>
        <v>85.344307697499957</v>
      </c>
      <c r="G58" s="189">
        <v>125.04303071122393</v>
      </c>
      <c r="H58" s="189">
        <f>SUM(D58:G58)</f>
        <v>588.06580432459543</v>
      </c>
      <c r="I58" s="284"/>
      <c r="K58" s="265"/>
      <c r="L58" s="265"/>
      <c r="M58" s="265"/>
      <c r="N58" s="265"/>
      <c r="O58" s="265"/>
    </row>
    <row r="59" spans="3:15">
      <c r="C59" s="186" t="s">
        <v>11</v>
      </c>
      <c r="D59" s="291">
        <v>0</v>
      </c>
      <c r="E59" s="190">
        <v>0</v>
      </c>
      <c r="F59" s="190">
        <v>0</v>
      </c>
      <c r="G59" s="190">
        <f>E13</f>
        <v>35.385572500000002</v>
      </c>
      <c r="H59" s="190">
        <f>SUM(D59:G59)</f>
        <v>35.385572500000002</v>
      </c>
      <c r="I59" s="284"/>
      <c r="L59" s="265"/>
      <c r="M59" s="265"/>
    </row>
    <row r="60" spans="3:15" ht="13.8" thickBot="1">
      <c r="C60" s="93" t="s">
        <v>108</v>
      </c>
      <c r="D60" s="191">
        <f>SUM(D56:D59)</f>
        <v>188.45571789750002</v>
      </c>
      <c r="E60" s="192">
        <f>SUM(E56:E59)</f>
        <v>2030.57257</v>
      </c>
      <c r="F60" s="192">
        <f>SUM(F56:F59)</f>
        <v>85.350769697499956</v>
      </c>
      <c r="G60" s="192">
        <f>SUM(G56:G59)</f>
        <v>2797.490842405</v>
      </c>
      <c r="H60" s="192">
        <f>SUM(H56:H59)</f>
        <v>5101.8699000000006</v>
      </c>
    </row>
    <row r="61" spans="3:15" ht="6.75" customHeight="1"/>
    <row r="64" spans="3:15">
      <c r="E64" s="265"/>
      <c r="H64" s="100"/>
    </row>
    <row r="65" spans="5:5">
      <c r="E65" s="100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S93"/>
  <sheetViews>
    <sheetView view="pageBreakPreview" zoomScale="80" zoomScaleNormal="100" zoomScaleSheetLayoutView="80" workbookViewId="0">
      <selection activeCell="C1" sqref="C1"/>
    </sheetView>
  </sheetViews>
  <sheetFormatPr baseColWidth="10" defaultColWidth="11.44140625" defaultRowHeight="13.2"/>
  <cols>
    <col min="1" max="2" width="5.44140625" customWidth="1"/>
    <col min="3" max="3" width="24.33203125" customWidth="1"/>
    <col min="4" max="4" width="11.6640625" bestFit="1" customWidth="1"/>
    <col min="5" max="5" width="11.6640625" customWidth="1"/>
    <col min="6" max="6" width="9.6640625" customWidth="1"/>
    <col min="7" max="8" width="11.6640625" customWidth="1"/>
    <col min="9" max="9" width="9.6640625" customWidth="1"/>
    <col min="10" max="10" width="12.33203125" customWidth="1"/>
    <col min="11" max="11" width="9.6640625" customWidth="1"/>
    <col min="12" max="12" width="10.33203125" customWidth="1"/>
    <col min="14" max="14" width="14.5546875" customWidth="1"/>
    <col min="15" max="15" width="14.5546875" bestFit="1" customWidth="1"/>
    <col min="16" max="16" width="13.5546875" customWidth="1"/>
    <col min="17" max="17" width="12.6640625" bestFit="1" customWidth="1"/>
    <col min="18" max="18" width="14.33203125" bestFit="1" customWidth="1"/>
    <col min="19" max="19" width="14.44140625" customWidth="1"/>
    <col min="20" max="20" width="13.33203125" customWidth="1"/>
  </cols>
  <sheetData>
    <row r="1" spans="3:19" ht="13.8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3.8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3.8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3.8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8" thickBot="1"/>
    <row r="6" spans="3:19" ht="12.75" customHeight="1">
      <c r="C6" s="86" t="s">
        <v>60</v>
      </c>
      <c r="D6" s="354" t="s">
        <v>127</v>
      </c>
      <c r="E6" s="355"/>
      <c r="F6" s="342" t="s">
        <v>74</v>
      </c>
      <c r="G6" s="340" t="s">
        <v>128</v>
      </c>
      <c r="H6" s="341"/>
      <c r="I6" s="342" t="s">
        <v>74</v>
      </c>
      <c r="O6" s="36"/>
      <c r="P6" s="7"/>
      <c r="Q6" s="356" t="s">
        <v>116</v>
      </c>
      <c r="R6" s="356"/>
    </row>
    <row r="7" spans="3:19" ht="12.75" customHeight="1">
      <c r="C7" s="87"/>
      <c r="D7" s="88">
        <v>2021</v>
      </c>
      <c r="E7" s="76">
        <v>2022</v>
      </c>
      <c r="F7" s="343"/>
      <c r="G7" s="206">
        <v>2021</v>
      </c>
      <c r="H7" s="76">
        <v>2022</v>
      </c>
      <c r="I7" s="343"/>
      <c r="N7" s="41"/>
      <c r="O7" s="54">
        <v>2021</v>
      </c>
      <c r="P7" s="200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08">
        <v>5.1334160000000004</v>
      </c>
      <c r="E8" s="300">
        <v>3.9986996000000006</v>
      </c>
      <c r="F8" s="194">
        <f>+E8/D8-1</f>
        <v>-0.22104508966349112</v>
      </c>
      <c r="G8" s="306">
        <v>40.603254999999997</v>
      </c>
      <c r="H8" s="300">
        <v>39.880671599999992</v>
      </c>
      <c r="I8" s="194">
        <f>+H8/G8-1</f>
        <v>-1.7796193925831982E-2</v>
      </c>
      <c r="J8" s="16"/>
      <c r="K8" s="35"/>
      <c r="L8" s="35"/>
      <c r="N8" s="41" t="s">
        <v>10</v>
      </c>
      <c r="O8" s="54">
        <f>SUM(D8,D13,D20,D21,D27,D29,D31)</f>
        <v>340.33335499999998</v>
      </c>
      <c r="P8" s="54">
        <f>SUM(E8,E13,E20,E21,E27,E29,E31)</f>
        <v>357.41641027289478</v>
      </c>
      <c r="Q8" s="54">
        <f>SUM(G8,G13,G20,G21,G27,G29,G31)</f>
        <v>3135.6299339999991</v>
      </c>
      <c r="R8" s="54">
        <f>SUM(H8,H13,H20,H21,H27,H29,H31)</f>
        <v>3282.8240833204459</v>
      </c>
    </row>
    <row r="9" spans="3:19" ht="20.100000000000001" customHeight="1">
      <c r="C9" s="96" t="s">
        <v>18</v>
      </c>
      <c r="D9" s="193">
        <v>189.41505999999998</v>
      </c>
      <c r="E9" s="247">
        <v>141.11552188955352</v>
      </c>
      <c r="F9" s="195">
        <f t="shared" ref="F9:F32" si="0">+E9/D9-1</f>
        <v>-0.25499312520581241</v>
      </c>
      <c r="G9" s="207">
        <v>1891.1638529999998</v>
      </c>
      <c r="H9" s="247">
        <v>1789.908263153214</v>
      </c>
      <c r="I9" s="195">
        <f t="shared" ref="I9:I32" si="1">+H9/G9-1</f>
        <v>-5.3541415613544863E-2</v>
      </c>
      <c r="J9" s="16"/>
      <c r="K9" s="35"/>
      <c r="L9" s="35"/>
      <c r="N9" s="41" t="s">
        <v>9</v>
      </c>
      <c r="O9" s="54">
        <f>SUM(D9,D14,D16,D17,D19,D22,D26,D32)</f>
        <v>3976.7513659999995</v>
      </c>
      <c r="P9" s="54">
        <f>SUM(E9,E14,E16,E17,E19,E22,E26,E32)</f>
        <v>4121.0021129025099</v>
      </c>
      <c r="Q9" s="54">
        <f>SUM(G9,G14,G16,G17,G19,G22,G26,G32)</f>
        <v>38341.503525</v>
      </c>
      <c r="R9" s="54">
        <f>SUM(H9,H14,H16,H17,H19,H22,H26,H32)</f>
        <v>39584.184166780171</v>
      </c>
    </row>
    <row r="10" spans="3:19" ht="20.100000000000001" customHeight="1">
      <c r="C10" s="97" t="s">
        <v>19</v>
      </c>
      <c r="D10" s="298">
        <v>3.1269119999999999</v>
      </c>
      <c r="E10" s="270">
        <v>2.6667035000000001</v>
      </c>
      <c r="F10" s="195">
        <f t="shared" si="0"/>
        <v>-0.14717667142535507</v>
      </c>
      <c r="G10" s="297">
        <v>37.830880000000001</v>
      </c>
      <c r="H10" s="270">
        <v>37.883726500000002</v>
      </c>
      <c r="I10" s="358">
        <f t="shared" si="1"/>
        <v>1.3969143725971467E-3</v>
      </c>
      <c r="J10" s="16"/>
      <c r="K10" s="35"/>
      <c r="L10" s="35"/>
      <c r="N10" s="41" t="s">
        <v>12</v>
      </c>
      <c r="O10" s="54">
        <f>SUM(D10,D11,D12,D15,D18,D24,D25,D28,D30)</f>
        <v>542.21244500000012</v>
      </c>
      <c r="P10" s="54">
        <f>SUM(E10,E11,E12,E15,E18,E24,E25,E28,E30)</f>
        <v>588.06580432459543</v>
      </c>
      <c r="Q10" s="54">
        <f>SUM(G10,G11,G12,G15,G18,G24,G25,G28,G30)</f>
        <v>5774.4150529999997</v>
      </c>
      <c r="R10" s="54">
        <f>SUM(H10,H11,H12,H15,H18,H24,H25,H28,H30)</f>
        <v>5865.6479419976367</v>
      </c>
    </row>
    <row r="11" spans="3:19" ht="20.100000000000001" customHeight="1">
      <c r="C11" s="96" t="s">
        <v>20</v>
      </c>
      <c r="D11" s="193">
        <v>100.80753800000001</v>
      </c>
      <c r="E11" s="247">
        <v>178.33938433604484</v>
      </c>
      <c r="F11" s="195">
        <f t="shared" si="0"/>
        <v>0.76910762701143276</v>
      </c>
      <c r="G11" s="207">
        <v>1018.5362050000001</v>
      </c>
      <c r="H11" s="247">
        <v>1038.0290213484243</v>
      </c>
      <c r="I11" s="195">
        <f t="shared" si="1"/>
        <v>1.9138069174894135E-2</v>
      </c>
      <c r="J11" s="16"/>
      <c r="K11" s="35"/>
      <c r="L11" s="35"/>
      <c r="N11" s="275" t="s">
        <v>11</v>
      </c>
      <c r="O11" s="54">
        <f>D23</f>
        <v>37.06358800000001</v>
      </c>
      <c r="P11" s="54">
        <f>E23</f>
        <v>35.385572500000002</v>
      </c>
      <c r="Q11" s="54">
        <f>G23</f>
        <v>340.95109100000002</v>
      </c>
      <c r="R11" s="54">
        <f>H23</f>
        <v>347.18499349999996</v>
      </c>
    </row>
    <row r="12" spans="3:19" ht="20.100000000000001" customHeight="1">
      <c r="C12" s="96" t="s">
        <v>21</v>
      </c>
      <c r="D12" s="298">
        <v>1.0225410000000001</v>
      </c>
      <c r="E12" s="270">
        <v>0.87809107526006802</v>
      </c>
      <c r="F12" s="195">
        <f t="shared" si="0"/>
        <v>-0.14126565559711746</v>
      </c>
      <c r="G12" s="207">
        <v>8.4352290000000014</v>
      </c>
      <c r="H12" s="247">
        <v>8.9985113763003408</v>
      </c>
      <c r="I12" s="195">
        <f t="shared" si="1"/>
        <v>6.6777366245817316E-2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3">
        <v>119.92698600000001</v>
      </c>
      <c r="E13" s="247">
        <v>97.174164226915309</v>
      </c>
      <c r="F13" s="195">
        <f t="shared" si="0"/>
        <v>-0.18972228463312424</v>
      </c>
      <c r="G13" s="207">
        <v>1188.3263919999999</v>
      </c>
      <c r="H13" s="247">
        <v>1181.682560917661</v>
      </c>
      <c r="I13" s="195">
        <f t="shared" si="1"/>
        <v>-5.5909143540581185E-3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3">
        <v>328.53250600000001</v>
      </c>
      <c r="E14" s="247">
        <v>355.6176043560323</v>
      </c>
      <c r="F14" s="195">
        <f t="shared" si="0"/>
        <v>8.2442674199283861E-2</v>
      </c>
      <c r="G14" s="207">
        <v>2563.6188579999998</v>
      </c>
      <c r="H14" s="247">
        <v>2842.2000979080071</v>
      </c>
      <c r="I14" s="195">
        <f t="shared" si="1"/>
        <v>0.10866718312617718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3">
        <v>129.25933500000002</v>
      </c>
      <c r="E15" s="247">
        <v>139.31925446170081</v>
      </c>
      <c r="F15" s="195">
        <f t="shared" si="0"/>
        <v>7.7827411549817871E-2</v>
      </c>
      <c r="G15" s="207">
        <v>1678.1672429999999</v>
      </c>
      <c r="H15" s="247">
        <v>1665.4034356624629</v>
      </c>
      <c r="I15" s="195">
        <f t="shared" si="1"/>
        <v>-7.6058017404270206E-3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3">
        <v>778.63573199999996</v>
      </c>
      <c r="E16" s="247">
        <v>704.10387873374259</v>
      </c>
      <c r="F16" s="195">
        <f t="shared" si="0"/>
        <v>-9.5721080093274402E-2</v>
      </c>
      <c r="G16" s="207">
        <v>8576.3725269999995</v>
      </c>
      <c r="H16" s="247">
        <v>8316.5797336490396</v>
      </c>
      <c r="I16" s="195">
        <f t="shared" si="1"/>
        <v>-3.0291687136150491E-2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3">
        <v>120.956407</v>
      </c>
      <c r="E17" s="247">
        <v>98.510347306327915</v>
      </c>
      <c r="F17" s="195">
        <f t="shared" si="0"/>
        <v>-0.18557148191143014</v>
      </c>
      <c r="G17" s="207">
        <v>1889.7198240000002</v>
      </c>
      <c r="H17" s="247">
        <v>1811.7395844303114</v>
      </c>
      <c r="I17" s="195">
        <f t="shared" si="1"/>
        <v>-4.1265503266313175E-2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3">
        <v>154.75332600000004</v>
      </c>
      <c r="E18" s="247">
        <v>116.60181725992307</v>
      </c>
      <c r="F18" s="195">
        <f t="shared" si="0"/>
        <v>-0.24653110680204038</v>
      </c>
      <c r="G18" s="207">
        <v>1422.1707400000003</v>
      </c>
      <c r="H18" s="247">
        <v>1491.9565513162822</v>
      </c>
      <c r="I18" s="195">
        <f t="shared" si="1"/>
        <v>4.9069924836368184E-2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3">
        <v>231.98017100000001</v>
      </c>
      <c r="E19" s="247">
        <v>181.47242617999984</v>
      </c>
      <c r="F19" s="195">
        <f t="shared" si="0"/>
        <v>-0.21772440550533156</v>
      </c>
      <c r="G19" s="207">
        <v>2508.7740369999997</v>
      </c>
      <c r="H19" s="247">
        <v>2545.2957486350006</v>
      </c>
      <c r="I19" s="195">
        <f t="shared" si="1"/>
        <v>1.4557593109769895E-2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3">
        <v>72.256893000000005</v>
      </c>
      <c r="E20" s="247">
        <v>106.37407675512746</v>
      </c>
      <c r="F20" s="195">
        <f t="shared" si="0"/>
        <v>0.47216510894161279</v>
      </c>
      <c r="G20" s="207">
        <v>571.64129000000003</v>
      </c>
      <c r="H20" s="247">
        <v>627.12323787443336</v>
      </c>
      <c r="I20" s="195">
        <f t="shared" si="1"/>
        <v>9.7057278480414455E-2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3">
        <v>5.245393</v>
      </c>
      <c r="E21" s="247">
        <v>5.9719519256804476</v>
      </c>
      <c r="F21" s="195">
        <f t="shared" si="0"/>
        <v>0.13851372541208029</v>
      </c>
      <c r="G21" s="207">
        <v>51.589569000000004</v>
      </c>
      <c r="H21" s="247">
        <v>53.276605658180443</v>
      </c>
      <c r="I21" s="195">
        <f t="shared" si="1"/>
        <v>3.2701119448786953E-2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3">
        <v>2239.3582079999996</v>
      </c>
      <c r="E22" s="247">
        <v>2579.7709426447973</v>
      </c>
      <c r="F22" s="195">
        <f t="shared" si="0"/>
        <v>0.15201352487006736</v>
      </c>
      <c r="G22" s="207">
        <v>19985.602214000006</v>
      </c>
      <c r="H22" s="247">
        <v>21312.023812443444</v>
      </c>
      <c r="I22" s="195">
        <f t="shared" si="1"/>
        <v>6.6368858153009525E-2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3">
        <v>37.06358800000001</v>
      </c>
      <c r="E23" s="247">
        <v>35.385572500000002</v>
      </c>
      <c r="F23" s="195">
        <f t="shared" si="0"/>
        <v>-4.5273962682728097E-2</v>
      </c>
      <c r="G23" s="207">
        <v>340.95109100000002</v>
      </c>
      <c r="H23" s="247">
        <v>347.18499349999996</v>
      </c>
      <c r="I23" s="195">
        <f t="shared" si="1"/>
        <v>1.8283861423396663E-2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309">
        <v>0.22045300000000001</v>
      </c>
      <c r="E24" s="310">
        <v>0.18446873083333334</v>
      </c>
      <c r="F24" s="195">
        <f t="shared" si="0"/>
        <v>-0.16322875699884631</v>
      </c>
      <c r="G24" s="297">
        <v>1.6985810000000001</v>
      </c>
      <c r="H24" s="270">
        <v>1.5148757658333334</v>
      </c>
      <c r="I24" s="195">
        <f t="shared" si="1"/>
        <v>-0.10815217770990415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3">
        <v>74.754283000000001</v>
      </c>
      <c r="E25" s="247">
        <v>74.202453150000025</v>
      </c>
      <c r="F25" s="195">
        <f t="shared" si="0"/>
        <v>-7.3819161639203656E-3</v>
      </c>
      <c r="G25" s="207">
        <v>613.02234899999996</v>
      </c>
      <c r="H25" s="247">
        <v>596.58149631499987</v>
      </c>
      <c r="I25" s="195">
        <f t="shared" si="1"/>
        <v>-2.6819336541024086E-2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3">
        <v>62.437246000000002</v>
      </c>
      <c r="E26" s="247">
        <v>47.858214295389224</v>
      </c>
      <c r="F26" s="195">
        <f t="shared" si="0"/>
        <v>-0.2334989551686949</v>
      </c>
      <c r="G26" s="207">
        <v>696.85008100000005</v>
      </c>
      <c r="H26" s="247">
        <v>741.20469867698387</v>
      </c>
      <c r="I26" s="195">
        <f t="shared" si="1"/>
        <v>6.3650157883792913E-2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3">
        <v>132.90049099999999</v>
      </c>
      <c r="E27" s="247">
        <v>140.84696976517156</v>
      </c>
      <c r="F27" s="195">
        <f t="shared" si="0"/>
        <v>5.9792696816835411E-2</v>
      </c>
      <c r="G27" s="207">
        <v>1233.9832229999997</v>
      </c>
      <c r="H27" s="247">
        <v>1334.4025812701716</v>
      </c>
      <c r="I27" s="195">
        <f t="shared" si="1"/>
        <v>8.1378220058808681E-2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3">
        <v>63.944896999999997</v>
      </c>
      <c r="E28" s="247">
        <v>62.472221009999984</v>
      </c>
      <c r="F28" s="195">
        <f t="shared" si="0"/>
        <v>-2.3030391150681062E-2</v>
      </c>
      <c r="G28" s="207">
        <v>863.70512399999996</v>
      </c>
      <c r="H28" s="247">
        <v>895.39805867500002</v>
      </c>
      <c r="I28" s="195">
        <f t="shared" si="1"/>
        <v>3.6694160766609141E-2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193">
        <v>3.7696279999999995</v>
      </c>
      <c r="E29" s="247">
        <v>1.95</v>
      </c>
      <c r="F29" s="195">
        <f t="shared" si="0"/>
        <v>-0.48270757751162707</v>
      </c>
      <c r="G29" s="207">
        <v>38.480724999999993</v>
      </c>
      <c r="H29" s="247">
        <v>35.452945999999997</v>
      </c>
      <c r="I29" s="195">
        <f t="shared" si="1"/>
        <v>-7.8683002983961359E-2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3">
        <v>14.32316</v>
      </c>
      <c r="E30" s="247">
        <v>13.401410800833334</v>
      </c>
      <c r="F30" s="195">
        <f t="shared" si="0"/>
        <v>-6.4353759866304983E-2</v>
      </c>
      <c r="G30" s="207">
        <v>130.848702</v>
      </c>
      <c r="H30" s="247">
        <v>129.88226503833334</v>
      </c>
      <c r="I30" s="195">
        <f t="shared" si="1"/>
        <v>-7.3859117201381386E-3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3">
        <v>1.1005480000000001</v>
      </c>
      <c r="E31" s="247">
        <v>1.1005480000000001</v>
      </c>
      <c r="F31" s="195">
        <f>+E31/D31-1</f>
        <v>0</v>
      </c>
      <c r="G31" s="207">
        <v>11.005480000000002</v>
      </c>
      <c r="H31" s="247">
        <v>11.005480000000002</v>
      </c>
      <c r="I31" s="195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7">
        <v>25.436035999999998</v>
      </c>
      <c r="E32" s="248">
        <v>12.553177496666668</v>
      </c>
      <c r="F32" s="196">
        <f t="shared" si="0"/>
        <v>-0.50648058932348305</v>
      </c>
      <c r="G32" s="208">
        <v>229.40213100000003</v>
      </c>
      <c r="H32" s="248">
        <v>225.23222788416666</v>
      </c>
      <c r="I32" s="196">
        <f t="shared" si="1"/>
        <v>-1.8177264080573741E-2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3" t="s">
        <v>108</v>
      </c>
      <c r="D33" s="89">
        <f>SUM(D8:D32)</f>
        <v>4896.3607540000012</v>
      </c>
      <c r="E33" s="249">
        <f>SUM(E8:E32)</f>
        <v>5101.8699000000006</v>
      </c>
      <c r="F33" s="94">
        <f>+E33/D33-1</f>
        <v>4.1971814644603533E-2</v>
      </c>
      <c r="G33" s="209">
        <f>SUM(G8:G32)</f>
        <v>47592.499603000011</v>
      </c>
      <c r="H33" s="249">
        <f>SUM(H8:H32)</f>
        <v>49079.841185598241</v>
      </c>
      <c r="I33" s="210">
        <f>+H33/G33-1</f>
        <v>3.1251596260022385E-2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132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9" t="s">
        <v>45</v>
      </c>
    </row>
    <row r="44" spans="3:19">
      <c r="C44" s="15"/>
      <c r="N44" s="39" t="s">
        <v>30</v>
      </c>
      <c r="O44" s="40">
        <v>2579.7709426447973</v>
      </c>
      <c r="S44" s="36"/>
    </row>
    <row r="45" spans="3:19">
      <c r="C45" s="15"/>
      <c r="N45" s="39" t="s">
        <v>24</v>
      </c>
      <c r="O45" s="40">
        <v>704.10387873374259</v>
      </c>
      <c r="S45" s="36"/>
    </row>
    <row r="46" spans="3:19">
      <c r="C46" s="15"/>
      <c r="N46" s="39" t="s">
        <v>59</v>
      </c>
      <c r="O46" s="40">
        <v>355.6176043560323</v>
      </c>
      <c r="S46" s="36"/>
    </row>
    <row r="47" spans="3:19">
      <c r="N47" s="39" t="s">
        <v>27</v>
      </c>
      <c r="O47" s="40">
        <v>181.47242617999984</v>
      </c>
      <c r="S47" s="36"/>
    </row>
    <row r="48" spans="3:19">
      <c r="N48" s="39" t="s">
        <v>20</v>
      </c>
      <c r="O48" s="40">
        <v>178.33938433604484</v>
      </c>
      <c r="S48" s="36"/>
    </row>
    <row r="49" spans="14:19">
      <c r="N49" s="39" t="s">
        <v>18</v>
      </c>
      <c r="O49" s="40">
        <v>141.11552188955352</v>
      </c>
      <c r="S49" s="36"/>
    </row>
    <row r="50" spans="14:19">
      <c r="N50" s="39" t="s">
        <v>35</v>
      </c>
      <c r="O50" s="40">
        <v>140.84696976517156</v>
      </c>
      <c r="S50" s="36"/>
    </row>
    <row r="51" spans="14:19">
      <c r="N51" s="39" t="s">
        <v>23</v>
      </c>
      <c r="O51" s="40">
        <v>139.31925446170081</v>
      </c>
      <c r="S51" s="36"/>
    </row>
    <row r="52" spans="14:19">
      <c r="N52" s="39" t="s">
        <v>26</v>
      </c>
      <c r="O52" s="40">
        <v>116.60181725992307</v>
      </c>
      <c r="S52" s="36"/>
    </row>
    <row r="53" spans="14:19">
      <c r="N53" s="39" t="s">
        <v>28</v>
      </c>
      <c r="O53" s="40">
        <v>106.37407675512746</v>
      </c>
      <c r="S53" s="36"/>
    </row>
    <row r="54" spans="14:19">
      <c r="N54" s="39" t="s">
        <v>25</v>
      </c>
      <c r="O54" s="40">
        <v>98.510347306327915</v>
      </c>
      <c r="S54" s="36"/>
    </row>
    <row r="55" spans="14:19">
      <c r="N55" s="39" t="s">
        <v>22</v>
      </c>
      <c r="O55" s="40">
        <v>97.174164226915309</v>
      </c>
      <c r="S55" s="36"/>
    </row>
    <row r="56" spans="14:19">
      <c r="N56" s="39" t="s">
        <v>33</v>
      </c>
      <c r="O56" s="40">
        <v>74.202453150000025</v>
      </c>
      <c r="S56" s="36"/>
    </row>
    <row r="57" spans="14:19">
      <c r="N57" s="39" t="s">
        <v>36</v>
      </c>
      <c r="O57" s="40">
        <v>62.472221009999984</v>
      </c>
      <c r="S57" s="36"/>
    </row>
    <row r="58" spans="14:19">
      <c r="N58" s="39" t="s">
        <v>34</v>
      </c>
      <c r="O58" s="40">
        <v>47.858214295389224</v>
      </c>
      <c r="S58" s="36"/>
    </row>
    <row r="59" spans="14:19">
      <c r="N59" s="39" t="s">
        <v>31</v>
      </c>
      <c r="O59" s="40">
        <v>35.385572500000002</v>
      </c>
      <c r="S59" s="36"/>
    </row>
    <row r="60" spans="14:19">
      <c r="N60" s="39" t="s">
        <v>38</v>
      </c>
      <c r="O60" s="40">
        <v>13.401410800833334</v>
      </c>
      <c r="S60" s="36"/>
    </row>
    <row r="61" spans="14:19">
      <c r="N61" s="39" t="s">
        <v>40</v>
      </c>
      <c r="O61" s="40">
        <v>12.553177496666668</v>
      </c>
      <c r="S61" s="36"/>
    </row>
    <row r="62" spans="14:19">
      <c r="N62" s="39" t="s">
        <v>29</v>
      </c>
      <c r="O62" s="40">
        <v>5.9719519256804476</v>
      </c>
      <c r="S62" s="36"/>
    </row>
    <row r="63" spans="14:19">
      <c r="N63" s="39" t="s">
        <v>17</v>
      </c>
      <c r="O63" s="40">
        <v>3.9986996000000006</v>
      </c>
      <c r="S63" s="36"/>
    </row>
    <row r="64" spans="14:19">
      <c r="N64" s="39" t="s">
        <v>19</v>
      </c>
      <c r="O64" s="40">
        <v>2.6667035000000001</v>
      </c>
      <c r="S64" s="36"/>
    </row>
    <row r="65" spans="6:19">
      <c r="N65" s="39" t="s">
        <v>37</v>
      </c>
      <c r="O65" s="40">
        <v>1.95</v>
      </c>
      <c r="S65" s="99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0.87809107526006802</v>
      </c>
      <c r="S67" s="36"/>
    </row>
    <row r="68" spans="6:19">
      <c r="N68" t="s">
        <v>32</v>
      </c>
      <c r="O68" s="40">
        <v>0.18446873083333334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xmlns:xlrd2="http://schemas.microsoft.com/office/spreadsheetml/2017/richdata2" ref="R44:S68">
    <sortCondition descending="1" ref="S44:S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2022-11-16T18:04:32Z</dcterms:modified>
</cp:coreProperties>
</file>